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Sharon Brown\Downloads\"/>
    </mc:Choice>
  </mc:AlternateContent>
  <xr:revisionPtr revIDLastSave="0" documentId="13_ncr:1_{5EE0F972-1801-4529-9562-F232795EACC7}" xr6:coauthVersionLast="47" xr6:coauthVersionMax="47" xr10:uidLastSave="{00000000-0000-0000-0000-000000000000}"/>
  <bookViews>
    <workbookView xWindow="-108" yWindow="-108" windowWidth="23256" windowHeight="12576" tabRatio="601" xr2:uid="{00000000-000D-0000-FFFF-FFFF00000000}"/>
  </bookViews>
  <sheets>
    <sheet name="Cash Book 2022-23" sheetId="7" r:id="rId1"/>
    <sheet name="Assets" sheetId="26" r:id="rId2"/>
    <sheet name="Bank Reconciliation" sheetId="27" r:id="rId3"/>
    <sheet name="Variances" sheetId="39" r:id="rId4"/>
    <sheet name="Variances explained" sheetId="38" r:id="rId5"/>
  </sheets>
  <definedNames>
    <definedName name="_xlnm.Print_Area" localSheetId="1">Assets!$A$1:$E$52</definedName>
    <definedName name="_xlnm.Print_Area" localSheetId="2">'Bank Reconciliation'!$A$1:$D$42</definedName>
    <definedName name="_xlnm.Print_Area" localSheetId="0">'Cash Book 2022-23'!$A$1:$T$58</definedName>
    <definedName name="_xlnm.Print_Area" localSheetId="3">Variances!$A$1:$N$40</definedName>
    <definedName name="_xlnm.Print_Area" localSheetId="4">'Variances explained'!$A$1:$K$24</definedName>
    <definedName name="_xlnm.Print_Titles" localSheetId="0">'Cash Book 2022-23'!$B:$B,'Cash Book 2022-23'!$2:$4</definedName>
  </definedNames>
  <calcPr calcId="191028"/>
</workbook>
</file>

<file path=xl/calcChain.xml><?xml version="1.0" encoding="utf-8"?>
<calcChain xmlns="http://schemas.openxmlformats.org/spreadsheetml/2006/main">
  <c r="F10" i="39" l="1"/>
  <c r="C25" i="27"/>
  <c r="F8" i="7"/>
  <c r="F9" i="7" s="1"/>
  <c r="F10" i="7" s="1"/>
  <c r="F11" i="7" s="1"/>
  <c r="F12" i="7" s="1"/>
  <c r="F13" i="7" s="1"/>
  <c r="F14" i="7" s="1"/>
  <c r="F15" i="7" s="1"/>
  <c r="F16" i="7" s="1"/>
  <c r="F17" i="7" s="1"/>
  <c r="F18" i="7" s="1"/>
  <c r="F19" i="7" s="1"/>
  <c r="F20" i="7" s="1"/>
  <c r="F21" i="7" s="1"/>
  <c r="F22" i="7" s="1"/>
  <c r="F23" i="7" s="1"/>
  <c r="F24" i="7" s="1"/>
  <c r="F25" i="7" s="1"/>
  <c r="F26" i="7" s="1"/>
  <c r="F27" i="7" s="1"/>
  <c r="F28" i="7" s="1"/>
  <c r="F29" i="7" s="1"/>
  <c r="F30" i="7" s="1"/>
  <c r="F31" i="7" s="1"/>
  <c r="F32" i="7" s="1"/>
  <c r="L58" i="7"/>
  <c r="M58" i="7"/>
  <c r="N58" i="7"/>
  <c r="R50" i="7"/>
  <c r="R46" i="7"/>
  <c r="D58" i="7"/>
  <c r="T48" i="7"/>
  <c r="T49" i="7"/>
  <c r="T38" i="7"/>
  <c r="T39" i="7"/>
  <c r="T28" i="7"/>
  <c r="T29" i="7"/>
  <c r="T30" i="7"/>
  <c r="T8" i="7"/>
  <c r="D16" i="39" l="1"/>
  <c r="S12" i="7"/>
  <c r="S16" i="7"/>
  <c r="R16" i="7" s="1"/>
  <c r="A35" i="7"/>
  <c r="S45" i="7"/>
  <c r="R45" i="7" s="1"/>
  <c r="S40" i="7"/>
  <c r="R40" i="7" s="1"/>
  <c r="S36" i="7"/>
  <c r="S33" i="7"/>
  <c r="S26" i="7"/>
  <c r="R26" i="7" s="1"/>
  <c r="S22" i="7"/>
  <c r="R22" i="7" s="1"/>
  <c r="T22" i="7" s="1"/>
  <c r="S21" i="7"/>
  <c r="R21" i="7" s="1"/>
  <c r="S19" i="7"/>
  <c r="R19" i="7" s="1"/>
  <c r="T17" i="7"/>
  <c r="E33" i="7"/>
  <c r="E36" i="7"/>
  <c r="R36" i="7" l="1"/>
  <c r="R33" i="7"/>
  <c r="E58" i="7"/>
  <c r="F33" i="7"/>
  <c r="F34" i="7" s="1"/>
  <c r="F35" i="7" s="1"/>
  <c r="F36" i="7" s="1"/>
  <c r="F37" i="7" s="1"/>
  <c r="F38" i="7" s="1"/>
  <c r="F39" i="7" s="1"/>
  <c r="F40" i="7" s="1"/>
  <c r="F41" i="7" s="1"/>
  <c r="F42" i="7" s="1"/>
  <c r="F43" i="7" s="1"/>
  <c r="F44" i="7" s="1"/>
  <c r="F45" i="7" s="1"/>
  <c r="F46" i="7" s="1"/>
  <c r="F47" i="7" s="1"/>
  <c r="F48" i="7" s="1"/>
  <c r="F49" i="7" s="1"/>
  <c r="F50" i="7" s="1"/>
  <c r="S58" i="7"/>
  <c r="R12" i="7"/>
  <c r="T32" i="7"/>
  <c r="H24" i="7"/>
  <c r="T24" i="7" s="1"/>
  <c r="T27" i="7" l="1"/>
  <c r="T19" i="7"/>
  <c r="D22" i="39" l="1"/>
  <c r="F54" i="7" l="1"/>
  <c r="F55" i="7" s="1"/>
  <c r="F56" i="7" s="1"/>
  <c r="F57" i="7" s="1"/>
  <c r="K47" i="7" l="1"/>
  <c r="T46" i="7"/>
  <c r="T34" i="7"/>
  <c r="T40" i="7"/>
  <c r="K58" i="7" l="1"/>
  <c r="F16" i="39" s="1"/>
  <c r="T47" i="7"/>
  <c r="T44" i="7" l="1"/>
  <c r="T18" i="7" l="1"/>
  <c r="E12" i="38" l="1"/>
  <c r="J29" i="39"/>
  <c r="I29" i="39"/>
  <c r="H29" i="39"/>
  <c r="K29" i="39" s="1"/>
  <c r="G29" i="39"/>
  <c r="J18" i="39"/>
  <c r="I18" i="39"/>
  <c r="H18" i="39"/>
  <c r="G18" i="39"/>
  <c r="L18" i="39" l="1"/>
  <c r="M18" i="39" s="1"/>
  <c r="L29" i="39"/>
  <c r="M29" i="39" s="1"/>
  <c r="K18" i="39"/>
  <c r="E19" i="26" l="1"/>
  <c r="F27" i="39" s="1"/>
  <c r="J27" i="39" l="1"/>
  <c r="I27" i="39"/>
  <c r="H27" i="39"/>
  <c r="G27" i="39"/>
  <c r="T50" i="7"/>
  <c r="L27" i="39" l="1"/>
  <c r="M27" i="39" s="1"/>
  <c r="K27" i="39"/>
  <c r="T33" i="7"/>
  <c r="T45" i="7"/>
  <c r="T21" i="7"/>
  <c r="T20" i="7"/>
  <c r="T36" i="7" l="1"/>
  <c r="T12" i="7" l="1"/>
  <c r="M10" i="39" l="1"/>
  <c r="C26" i="27" l="1"/>
  <c r="R13" i="7"/>
  <c r="H54" i="7"/>
  <c r="T54" i="7" s="1"/>
  <c r="Q37" i="7"/>
  <c r="Q58" i="7" s="1"/>
  <c r="P15" i="7"/>
  <c r="P58" i="7" s="1"/>
  <c r="O9" i="7"/>
  <c r="G10" i="7"/>
  <c r="G25" i="7"/>
  <c r="H55" i="7"/>
  <c r="T55" i="7" s="1"/>
  <c r="H56" i="7"/>
  <c r="T56" i="7" s="1"/>
  <c r="H57" i="7"/>
  <c r="T57" i="7" s="1"/>
  <c r="I58" i="7"/>
  <c r="J58" i="7"/>
  <c r="D29" i="26"/>
  <c r="T9" i="7" l="1"/>
  <c r="O58" i="7"/>
  <c r="T13" i="7"/>
  <c r="R58" i="7"/>
  <c r="T10" i="7"/>
  <c r="T25" i="7"/>
  <c r="T15" i="7"/>
  <c r="T16" i="7"/>
  <c r="T26" i="7"/>
  <c r="T37" i="7"/>
  <c r="G58" i="7"/>
  <c r="D27" i="27"/>
  <c r="D29" i="27"/>
  <c r="F20" i="39" l="1"/>
  <c r="T58" i="7"/>
  <c r="G20" i="39"/>
  <c r="I16" i="39"/>
  <c r="H16" i="39"/>
  <c r="G16" i="39"/>
  <c r="J16" i="39"/>
  <c r="F12" i="39"/>
  <c r="D11" i="27"/>
  <c r="D19" i="27" s="1"/>
  <c r="D30" i="27"/>
  <c r="D32" i="27" s="1"/>
  <c r="H58" i="7"/>
  <c r="F14" i="39" l="1"/>
  <c r="H20" i="39"/>
  <c r="L20" i="39" s="1"/>
  <c r="J20" i="39"/>
  <c r="I20" i="39"/>
  <c r="K20" i="39"/>
  <c r="K16" i="39"/>
  <c r="L16" i="39"/>
  <c r="M16" i="39" s="1"/>
  <c r="F22" i="39"/>
  <c r="I12" i="39"/>
  <c r="H12" i="39"/>
  <c r="G12" i="39"/>
  <c r="J12" i="39"/>
  <c r="L23" i="39" l="1"/>
  <c r="I14" i="39"/>
  <c r="H14" i="39"/>
  <c r="G14" i="39"/>
  <c r="J14" i="39"/>
  <c r="L12" i="39"/>
  <c r="M12" i="39" s="1"/>
  <c r="K12" i="39"/>
  <c r="K14" i="39" l="1"/>
  <c r="L14" i="39"/>
  <c r="F51" i="7" l="1"/>
  <c r="F58" i="7" s="1"/>
  <c r="F25" i="39" l="1"/>
  <c r="D14" i="38"/>
  <c r="E15" i="38" s="1"/>
  <c r="F16" i="38" s="1"/>
</calcChain>
</file>

<file path=xl/sharedStrings.xml><?xml version="1.0" encoding="utf-8"?>
<sst xmlns="http://schemas.openxmlformats.org/spreadsheetml/2006/main" count="251" uniqueCount="189">
  <si>
    <t>Longstowe Parish Council:  Cash Book for year 1 April 2022 to 31 March 2023</t>
  </si>
  <si>
    <t>––––––– INCOME –––––––</t>
  </si>
  <si>
    <t>–––––––––––––––––––––– EXPENDITURE ––––––––––––––––––––––</t>
  </si>
  <si>
    <t>Other</t>
  </si>
  <si>
    <t>Vat</t>
  </si>
  <si>
    <t>Deposit</t>
  </si>
  <si>
    <t>Clerk's</t>
  </si>
  <si>
    <t>Mileage</t>
  </si>
  <si>
    <t>Misc</t>
  </si>
  <si>
    <t>Village</t>
  </si>
  <si>
    <t>DATE</t>
  </si>
  <si>
    <t>DESCRIPTION</t>
  </si>
  <si>
    <t>CHEQUE</t>
  </si>
  <si>
    <t>RECPTS.</t>
  </si>
  <si>
    <t>PMENTS.</t>
  </si>
  <si>
    <t>BANK</t>
  </si>
  <si>
    <t>PRECEPT</t>
  </si>
  <si>
    <t>Income</t>
  </si>
  <si>
    <t>Refund</t>
  </si>
  <si>
    <t>Acc</t>
  </si>
  <si>
    <t>Salary</t>
  </si>
  <si>
    <t>+ Exps</t>
    <phoneticPr fontId="4" type="noConversion"/>
  </si>
  <si>
    <r>
      <t>Training</t>
    </r>
    <r>
      <rPr>
        <sz val="10"/>
        <color rgb="FFFF0000"/>
        <rFont val="Arial"/>
        <family val="2"/>
      </rPr>
      <t>*</t>
    </r>
  </si>
  <si>
    <t>Admin</t>
  </si>
  <si>
    <t>Fees</t>
  </si>
  <si>
    <t>Insurance</t>
  </si>
  <si>
    <t>Skylark</t>
  </si>
  <si>
    <t>Maintenance</t>
  </si>
  <si>
    <t>VAT</t>
  </si>
  <si>
    <t>Total</t>
  </si>
  <si>
    <t>Carried forward</t>
  </si>
  <si>
    <t>Victoire Press Ltd: Skylark March 2022</t>
  </si>
  <si>
    <t>Eyelid Productions: Website maintenance</t>
  </si>
  <si>
    <t>South Cambs DC: Direct Credit: Precept 22-23A</t>
  </si>
  <si>
    <t>DC</t>
  </si>
  <si>
    <t>LPC Village Hall hire 2021-22</t>
  </si>
  <si>
    <t>Opus Energy Corpor (March)</t>
  </si>
  <si>
    <t>DD</t>
  </si>
  <si>
    <t>Mr A. Church, grass-cutting 2022</t>
  </si>
  <si>
    <t>Natl Lottery Community Fund grant - defibrillator</t>
  </si>
  <si>
    <t>Business Services at CAS: Community Action Suffolk ACRE: Parish Protect 22-23</t>
  </si>
  <si>
    <t>Opus Energy Corpor (April)</t>
  </si>
  <si>
    <t>Clerk: net pay (mid-Mar - mid-Jun 2022)</t>
  </si>
  <si>
    <t>HMRC: Income Tax Clerk: on salary + expenses (mid-Mar - mid-Jun 2022)</t>
  </si>
  <si>
    <t>Opus Energy Corpor (May)</t>
  </si>
  <si>
    <t>Victoire Press Ltd: Skylark July 2022</t>
  </si>
  <si>
    <t>Opus Energy Corpor (June)</t>
  </si>
  <si>
    <t>Opus Energy Corpor (July)</t>
  </si>
  <si>
    <t>South Cambs DC: Direct Credit: Community Chest Grant</t>
  </si>
  <si>
    <t>Longstowe Village Hall: Playground Insurance reimbursement (2021-2022)</t>
  </si>
  <si>
    <t>South Cambs DC: Direct Credit: Precept 22-23 B</t>
  </si>
  <si>
    <t>Opus Energy Corpor (August)</t>
  </si>
  <si>
    <t>Victoire Press Ltd: Skylark, Sept 2021</t>
  </si>
  <si>
    <t>HMRC: Income Tax (mid-June - mid-Sept. 2022)</t>
  </si>
  <si>
    <t>Clerk: salary (mid-June - mid-Sept. 2022)</t>
  </si>
  <si>
    <t>Clerk: expenses (mid-June - mid-Sept. 2022)</t>
  </si>
  <si>
    <t>South Cambs DC - uncontested election services</t>
  </si>
  <si>
    <t>The Info Commissioner: Data Protection renewal</t>
  </si>
  <si>
    <t>DD</t>
    <phoneticPr fontId="4" type="noConversion"/>
  </si>
  <si>
    <t>Opus Energy Corpor (September)</t>
  </si>
  <si>
    <t>Openreach: Wayleave agreement</t>
  </si>
  <si>
    <t>O.C.Electical (fitting Defibrillator)</t>
  </si>
  <si>
    <t>Opus Energy Corpor (October)</t>
  </si>
  <si>
    <t>Victoire Press Ltd: Skylark Dec 2021</t>
  </si>
  <si>
    <t>HMRC Income Tax (mid-Sept - mid-Dec)</t>
  </si>
  <si>
    <t>Clerk: salary + expenses (mid-Sept - mid-Dec 2022)</t>
  </si>
  <si>
    <t>Opus Energy Corpor (November)</t>
  </si>
  <si>
    <t>Longstowe Village Hall: Playground Insurance reimbursement (2022-2023)</t>
  </si>
  <si>
    <t>Village Hall Hire - Apr 2022 - Mar 2023 - LPC meetings</t>
  </si>
  <si>
    <t>Invoice Village Hall hire - Neighbourhood Plan Group meetings 2022</t>
  </si>
  <si>
    <t>Michael Murden: bus shelter cleaning</t>
  </si>
  <si>
    <t>Opus Energy Corpor (December)</t>
  </si>
  <si>
    <t>`</t>
  </si>
  <si>
    <t>Opus Energy Corpor (January)</t>
  </si>
  <si>
    <t>HMRC: Income tax re. S. Brown</t>
  </si>
  <si>
    <t xml:space="preserve">Clerk: salery </t>
  </si>
  <si>
    <t>Clerk: expenses</t>
  </si>
  <si>
    <t>Opus Energy Corpor (February)</t>
  </si>
  <si>
    <t>Deposit Account</t>
  </si>
  <si>
    <t>Deposit Account interest</t>
    <phoneticPr fontId="4" type="noConversion"/>
  </si>
  <si>
    <t>Deposit Account interest</t>
  </si>
  <si>
    <t xml:space="preserve">  </t>
  </si>
  <si>
    <t>TOTALS</t>
  </si>
  <si>
    <t>Signed:</t>
  </si>
  <si>
    <t xml:space="preserve">Approved by Council: </t>
  </si>
  <si>
    <t>(Responsible Finance Officer)</t>
  </si>
  <si>
    <t xml:space="preserve"> (Chairman)</t>
  </si>
  <si>
    <t xml:space="preserve">Date: </t>
  </si>
  <si>
    <t>Minute:</t>
  </si>
  <si>
    <t xml:space="preserve"> </t>
  </si>
  <si>
    <t>Year ended 31 March 2023</t>
  </si>
  <si>
    <t>Assets</t>
  </si>
  <si>
    <t>No assets were purchased or disposed of during the year</t>
  </si>
  <si>
    <t>Date of purchase</t>
  </si>
  <si>
    <t>Original Cost</t>
  </si>
  <si>
    <t>Assets held were:</t>
  </si>
  <si>
    <t>£</t>
  </si>
  <si>
    <t>Play Equipment – Village Hall</t>
  </si>
  <si>
    <t>Bus Shelter    on the High Street</t>
  </si>
  <si>
    <t>Bus Shelter    on the A1198</t>
  </si>
  <si>
    <t>Village Sign</t>
  </si>
  <si>
    <t>Two Notice Boards</t>
  </si>
  <si>
    <t>Village Seat</t>
  </si>
  <si>
    <t>Two new Notice Boards</t>
  </si>
  <si>
    <t>Computer</t>
  </si>
  <si>
    <t>Scanner / Printer</t>
  </si>
  <si>
    <t xml:space="preserve">Total </t>
    <phoneticPr fontId="23" type="noConversion"/>
  </si>
  <si>
    <t>Borrowings</t>
  </si>
  <si>
    <t>There are no loans outstanding</t>
  </si>
  <si>
    <t>Leases</t>
  </si>
  <si>
    <t>The Council has no leases</t>
  </si>
  <si>
    <t>Debts outstanding</t>
  </si>
  <si>
    <t>At 31 March 2023 debts outstanding to the council were</t>
  </si>
  <si>
    <t xml:space="preserve">VAT reclaimable for the period </t>
  </si>
  <si>
    <t>Tenancies</t>
  </si>
  <si>
    <t>The Council has no tenancy agreements</t>
    <phoneticPr fontId="23" type="noConversion"/>
  </si>
  <si>
    <t>Section 137 Payments</t>
    <phoneticPr fontId="23" type="noConversion"/>
  </si>
  <si>
    <t>The Council made no payments under S.137</t>
    <phoneticPr fontId="23" type="noConversion"/>
  </si>
  <si>
    <t>Nil</t>
  </si>
  <si>
    <t>Agency Work</t>
  </si>
  <si>
    <t>The Council undertook no agency work on behalf of authorities</t>
    <phoneticPr fontId="23" type="noConversion"/>
  </si>
  <si>
    <t>Advertising and Publicity Costs</t>
  </si>
  <si>
    <t>Pension Contributions</t>
  </si>
  <si>
    <t>Longstowe Parish Council:  Bank Reconciliation</t>
  </si>
  <si>
    <t>Prepared by Sharon Brown, Clerk &amp; RFO</t>
  </si>
  <si>
    <t>Date: April 2023</t>
  </si>
  <si>
    <t>Balance per bank statements as at 31 March 2023</t>
  </si>
  <si>
    <t>Current account</t>
  </si>
  <si>
    <t>Deposit account</t>
  </si>
  <si>
    <t>Petty cash float:  no petty cash held</t>
  </si>
  <si>
    <t>Less: unpresented cheques at 31 March 2023</t>
  </si>
  <si>
    <t>Add: any un-banked cash at 31 March 2023</t>
  </si>
  <si>
    <t>Net balances as at 31 March 2023</t>
  </si>
  <si>
    <t>The net balances reconcile to the Cash Book (receipts and payments account) for the year, as follows:</t>
  </si>
  <si>
    <t>CASH BOOK:</t>
  </si>
  <si>
    <t>Opening Balances 1 April 2022</t>
  </si>
  <si>
    <t>Add: Receipts in the year</t>
  </si>
  <si>
    <t>Less: Payments in the year</t>
  </si>
  <si>
    <t>Closing balance per cash book as at 31 March 2023</t>
  </si>
  <si>
    <t>(Responsible Finance Officer)</t>
    <phoneticPr fontId="23" type="noConversion"/>
  </si>
  <si>
    <t>(Chairman)</t>
    <phoneticPr fontId="23" type="noConversion"/>
  </si>
  <si>
    <t>Closing balance per cash book [receipts and payments book] as at 31 March 2023 (must equal net balances above)</t>
  </si>
  <si>
    <t xml:space="preserve">Explanation of variances – pro forma </t>
  </si>
  <si>
    <t xml:space="preserve">Name of smaller authority: </t>
  </si>
  <si>
    <t>Longstowe Parish Council</t>
  </si>
  <si>
    <r>
      <t>County area (local councils and parish meetings only):</t>
    </r>
    <r>
      <rPr>
        <b/>
        <sz val="8"/>
        <color rgb="FF000000"/>
        <rFont val="Arial"/>
        <family val="2"/>
      </rPr>
      <t xml:space="preserve"> </t>
    </r>
  </si>
  <si>
    <t>South Cambridgeshire</t>
  </si>
  <si>
    <r>
      <t xml:space="preserve">Insert figures from Section 2 of the AGAR in all </t>
    </r>
    <r>
      <rPr>
        <b/>
        <u/>
        <sz val="10"/>
        <color rgb="FF333399"/>
        <rFont val="Arial"/>
        <family val="2"/>
      </rPr>
      <t>Blue</t>
    </r>
    <r>
      <rPr>
        <b/>
        <sz val="10"/>
        <color rgb="FFFF0000"/>
        <rFont val="Arial"/>
        <family val="2"/>
      </rPr>
      <t xml:space="preserve"> highlighted boxes </t>
    </r>
  </si>
  <si>
    <r>
      <t xml:space="preserve">Next, please provide full explanations, including numerical values, for the following that will be flagged in the green boxes where relevant:
</t>
    </r>
    <r>
      <rPr>
        <sz val="10"/>
        <color rgb="FF000000"/>
        <rFont val="Arial"/>
        <family val="2"/>
      </rPr>
      <t xml:space="preserve">• variances of more than 15% between totals for individual boxes (except variances of less than £200); 
• </t>
    </r>
    <r>
      <rPr>
        <b/>
        <sz val="10"/>
        <color rgb="FFFF0000"/>
        <rFont val="Arial"/>
        <family val="2"/>
      </rPr>
      <t>New from 2020/21:</t>
    </r>
    <r>
      <rPr>
        <sz val="10"/>
        <color rgb="FF000000"/>
        <rFont val="Arial"/>
        <family val="2"/>
      </rPr>
      <t xml:space="preserve"> variances of £100,000 or more require explanation regardless of the % variation year on year;
• a breakdown of approved reserves on the next tab if the total reserves (Box 7) figure is more than twice the annual precept/rates &amp; levies value (Box 2).</t>
    </r>
  </si>
  <si>
    <t>Do you have a new version of this in the pack?</t>
  </si>
  <si>
    <t>2021/22</t>
  </si>
  <si>
    <t>2022/23</t>
  </si>
  <si>
    <t>Variance</t>
  </si>
  <si>
    <t>Explanation Required?</t>
  </si>
  <si>
    <r>
      <t xml:space="preserve">Automatic responses trigger below based on figures input, </t>
    </r>
    <r>
      <rPr>
        <b/>
        <sz val="11"/>
        <color rgb="FF000000"/>
        <rFont val="Arial"/>
        <family val="2"/>
      </rPr>
      <t>DO NOT OVERWRITE THESE BOXES</t>
    </r>
  </si>
  <si>
    <r>
      <t xml:space="preserve">Explanation from smaller authority </t>
    </r>
    <r>
      <rPr>
        <b/>
        <u/>
        <sz val="11"/>
        <color rgb="FF000000"/>
        <rFont val="Arial"/>
        <family val="2"/>
      </rPr>
      <t>(must include narrative and supporting figures)</t>
    </r>
  </si>
  <si>
    <t>%</t>
  </si>
  <si>
    <t>1 Balances Brought Forward</t>
  </si>
  <si>
    <t>2 Precept or Rates and Levies</t>
  </si>
  <si>
    <t>3 Total Other Receipts</t>
  </si>
  <si>
    <t>2022/23: Lottery Fund grant £1950.00, Community Chest grant  £314.00, Wayleave £10, Playground Insurance reimbursement £169.44 + £174.69. Payment for defibrillator not yet made/awaiting invoice.</t>
  </si>
  <si>
    <t>4 Staff Costs</t>
  </si>
  <si>
    <t>2022/23: Clerk paid up-to-date.</t>
  </si>
  <si>
    <t>5 Loan Interest/Capital Repayment</t>
  </si>
  <si>
    <t>6 All Other Payments</t>
  </si>
  <si>
    <t>2022/23: low energy street lights fitted. defibrillator fiited at village hall, uncontested elections.</t>
  </si>
  <si>
    <t>7 Balances Carried Forward</t>
  </si>
  <si>
    <t>VARIANCE EXPLANATION NOT REQUIRED</t>
  </si>
  <si>
    <t>8 Total Cash and Short Term Investments</t>
  </si>
  <si>
    <t>9 Total Fixed Assets plus Other Long Term Investments and Assets</t>
  </si>
  <si>
    <t>10 Total Borrowings</t>
  </si>
  <si>
    <t>Rounding errors of up to £2 are tolerable</t>
  </si>
  <si>
    <t>Variances of £200 or less are tolerable</t>
  </si>
  <si>
    <t>BOX 10 VARIANCE EXPLANATION NOT REQUIRED IF CHANGE CAN BE EXPLAINED BY BOX 5 (CAPITAL PLUS INTEREST PAYMENT)</t>
  </si>
  <si>
    <t>Explanation for ‘high’ reserves</t>
  </si>
  <si>
    <t>April 2023</t>
  </si>
  <si>
    <t>(Please complete the highlighted boxes.)</t>
  </si>
  <si>
    <t>Box 7 is more than twice Box 2 because the authority held the following breakdown of reserves at the year end:</t>
  </si>
  <si>
    <t>Earmarked reserves:</t>
  </si>
  <si>
    <t>Reserve 1</t>
  </si>
  <si>
    <t>Endowment Fund (from the former Reading Room Trust)</t>
  </si>
  <si>
    <t>Reserve 2</t>
  </si>
  <si>
    <t>Speed Limit Fund</t>
  </si>
  <si>
    <t>Reserve 3</t>
  </si>
  <si>
    <t>S106 (open space)</t>
  </si>
  <si>
    <t>Reserve 4</t>
  </si>
  <si>
    <t>S106 (community space)</t>
  </si>
  <si>
    <t>General reserve</t>
  </si>
  <si>
    <t>Total reserves (must agree to Box 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</si>
</sst>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(* #,##0.00_);_(* \(#,##0.00\);_(* &quot;-&quot;??_);_(@_)"/>
    <numFmt numFmtId="165" formatCode="0_)"/>
    <numFmt numFmtId="166" formatCode="0.00_)"/>
    <numFmt numFmtId="167" formatCode="_-* #,##0_-;\-* #,##0_-;_-* &quot;-&quot;??_-;_-@_-"/>
    <numFmt numFmtId="168" formatCode="dd\ mmmm\ yyyy"/>
    <numFmt numFmtId="169" formatCode="#,##0.000"/>
  </numFmts>
  <fonts count="5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Verdana"/>
      <family val="2"/>
    </font>
    <font>
      <i/>
      <sz val="10"/>
      <name val="Arial"/>
      <family val="2"/>
    </font>
    <font>
      <b/>
      <sz val="14"/>
      <name val="Arial"/>
      <family val="2"/>
    </font>
    <font>
      <sz val="10"/>
      <name val="Arial"/>
      <family val="2"/>
    </font>
    <font>
      <b/>
      <i/>
      <sz val="10"/>
      <name val="Arial"/>
      <family val="2"/>
    </font>
    <font>
      <sz val="10"/>
      <color indexed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u/>
      <sz val="10"/>
      <color rgb="FF333399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rgb="FF000000"/>
      <name val="Symbol"/>
      <family val="1"/>
      <charset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i/>
      <sz val="10"/>
      <color rgb="FFFF0000"/>
      <name val="Arial"/>
      <family val="2"/>
    </font>
    <font>
      <b/>
      <sz val="18"/>
      <color rgb="FFFF0000"/>
      <name val="Arial"/>
      <family val="2"/>
    </font>
    <font>
      <b/>
      <sz val="10"/>
      <color indexed="10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0"/>
      <color rgb="FF000000"/>
      <name val="Arial"/>
      <charset val="1"/>
    </font>
    <font>
      <i/>
      <sz val="10"/>
      <color rgb="FF000000"/>
      <name val="Arial"/>
      <family val="2"/>
      <charset val="1"/>
    </font>
    <font>
      <b/>
      <sz val="10"/>
      <name val="Arial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00B0F0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66CC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FF66FF"/>
        <bgColor rgb="FF000000"/>
      </patternFill>
    </fill>
  </fills>
  <borders count="6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/>
      <top style="thin">
        <color indexed="22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22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/>
      <top/>
      <bottom style="thin">
        <color indexed="22"/>
      </bottom>
      <diagonal/>
    </border>
    <border>
      <left style="medium">
        <color indexed="64"/>
      </left>
      <right style="medium">
        <color indexed="64"/>
      </right>
      <top/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/>
      <top style="thin">
        <color indexed="64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medium">
        <color indexed="64"/>
      </bottom>
      <diagonal/>
    </border>
    <border>
      <left style="thin">
        <color indexed="64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medium">
        <color indexed="64"/>
      </top>
      <bottom style="medium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64"/>
      </top>
      <bottom style="thin">
        <color indexed="22"/>
      </bottom>
      <diagonal/>
    </border>
    <border>
      <left/>
      <right style="medium">
        <color indexed="64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medium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auto="1"/>
      </left>
      <right style="thin">
        <color theme="0" tint="-0.14996795556505021"/>
      </right>
      <top style="medium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auto="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medium">
        <color auto="1"/>
      </top>
      <bottom style="thin">
        <color theme="0" tint="-0.14996795556505021"/>
      </bottom>
      <diagonal/>
    </border>
    <border>
      <left style="medium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medium">
        <color auto="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medium">
        <color auto="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auto="1"/>
      </top>
      <bottom style="double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auto="1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medium">
        <color auto="1"/>
      </top>
      <bottom style="medium">
        <color indexed="6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9" borderId="0" applyNumberFormat="0" applyBorder="0" applyAlignment="0" applyProtection="0"/>
    <xf numFmtId="0" fontId="8" fillId="3" borderId="0" applyNumberFormat="0" applyBorder="0" applyAlignment="0" applyProtection="0"/>
    <xf numFmtId="0" fontId="9" fillId="20" borderId="1" applyNumberFormat="0" applyAlignment="0" applyProtection="0"/>
    <xf numFmtId="0" fontId="10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4" borderId="0" applyNumberFormat="0" applyBorder="0" applyAlignment="0" applyProtection="0"/>
    <xf numFmtId="0" fontId="13" fillId="0" borderId="3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0" borderId="6" applyNumberFormat="0" applyFill="0" applyAlignment="0" applyProtection="0"/>
    <xf numFmtId="0" fontId="18" fillId="22" borderId="0" applyNumberFormat="0" applyBorder="0" applyAlignment="0" applyProtection="0"/>
    <xf numFmtId="0" fontId="5" fillId="23" borderId="7" applyNumberFormat="0" applyFont="0" applyAlignment="0" applyProtection="0"/>
    <xf numFmtId="0" fontId="19" fillId="20" borderId="8" applyNumberFormat="0" applyAlignment="0" applyProtection="0"/>
    <xf numFmtId="0" fontId="20" fillId="0" borderId="0" applyNumberFormat="0" applyFill="0" applyBorder="0" applyAlignment="0" applyProtection="0"/>
    <xf numFmtId="0" fontId="21" fillId="0" borderId="9" applyNumberFormat="0" applyFill="0" applyAlignment="0" applyProtection="0"/>
    <xf numFmtId="0" fontId="22" fillId="0" borderId="0" applyNumberFormat="0" applyFill="0" applyBorder="0" applyAlignment="0" applyProtection="0"/>
  </cellStyleXfs>
  <cellXfs count="312">
    <xf numFmtId="0" fontId="0" fillId="0" borderId="0" xfId="0"/>
    <xf numFmtId="2" fontId="0" fillId="0" borderId="0" xfId="0" applyNumberFormat="1"/>
    <xf numFmtId="0" fontId="0" fillId="0" borderId="7" xfId="0" applyBorder="1"/>
    <xf numFmtId="0" fontId="2" fillId="0" borderId="7" xfId="0" applyFont="1" applyBorder="1"/>
    <xf numFmtId="0" fontId="1" fillId="0" borderId="7" xfId="0" applyFont="1" applyBorder="1"/>
    <xf numFmtId="2" fontId="0" fillId="0" borderId="7" xfId="0" applyNumberFormat="1" applyBorder="1"/>
    <xf numFmtId="0" fontId="2" fillId="0" borderId="7" xfId="0" applyFont="1" applyBorder="1" applyAlignment="1">
      <alignment wrapText="1"/>
    </xf>
    <xf numFmtId="2" fontId="0" fillId="0" borderId="7" xfId="0" applyNumberFormat="1" applyBorder="1" applyAlignment="1">
      <alignment horizontal="center"/>
    </xf>
    <xf numFmtId="0" fontId="0" fillId="0" borderId="17" xfId="0" applyBorder="1"/>
    <xf numFmtId="0" fontId="0" fillId="0" borderId="13" xfId="0" applyBorder="1"/>
    <xf numFmtId="0" fontId="1" fillId="0" borderId="7" xfId="0" applyFont="1" applyBorder="1" applyAlignment="1">
      <alignment wrapText="1"/>
    </xf>
    <xf numFmtId="2" fontId="0" fillId="0" borderId="17" xfId="0" applyNumberFormat="1" applyBorder="1"/>
    <xf numFmtId="0" fontId="0" fillId="0" borderId="24" xfId="0" applyBorder="1"/>
    <xf numFmtId="167" fontId="0" fillId="0" borderId="0" xfId="0" applyNumberFormat="1"/>
    <xf numFmtId="0" fontId="0" fillId="0" borderId="25" xfId="0" applyBorder="1"/>
    <xf numFmtId="14" fontId="24" fillId="0" borderId="26" xfId="0" applyNumberFormat="1" applyFont="1" applyBorder="1"/>
    <xf numFmtId="166" fontId="24" fillId="0" borderId="17" xfId="0" applyNumberFormat="1" applyFont="1" applyBorder="1" applyAlignment="1">
      <alignment horizontal="left" wrapText="1"/>
    </xf>
    <xf numFmtId="4" fontId="0" fillId="0" borderId="7" xfId="0" applyNumberFormat="1" applyBorder="1"/>
    <xf numFmtId="4" fontId="0" fillId="0" borderId="10" xfId="0" applyNumberFormat="1" applyBorder="1"/>
    <xf numFmtId="4" fontId="0" fillId="0" borderId="11" xfId="0" applyNumberFormat="1" applyBorder="1"/>
    <xf numFmtId="4" fontId="0" fillId="0" borderId="12" xfId="0" applyNumberFormat="1" applyBorder="1"/>
    <xf numFmtId="4" fontId="24" fillId="0" borderId="7" xfId="0" applyNumberFormat="1" applyFont="1" applyBorder="1"/>
    <xf numFmtId="4" fontId="0" fillId="0" borderId="17" xfId="0" applyNumberFormat="1" applyBorder="1" applyAlignment="1">
      <alignment horizontal="right"/>
    </xf>
    <xf numFmtId="4" fontId="1" fillId="0" borderId="7" xfId="0" applyNumberFormat="1" applyFont="1" applyBorder="1"/>
    <xf numFmtId="4" fontId="0" fillId="0" borderId="0" xfId="0" applyNumberFormat="1"/>
    <xf numFmtId="0" fontId="0" fillId="0" borderId="28" xfId="0" applyBorder="1"/>
    <xf numFmtId="4" fontId="0" fillId="0" borderId="29" xfId="0" applyNumberFormat="1" applyBorder="1"/>
    <xf numFmtId="4" fontId="0" fillId="0" borderId="30" xfId="0" applyNumberFormat="1" applyBorder="1"/>
    <xf numFmtId="4" fontId="0" fillId="0" borderId="31" xfId="0" applyNumberFormat="1" applyBorder="1"/>
    <xf numFmtId="0" fontId="0" fillId="0" borderId="26" xfId="0" applyBorder="1"/>
    <xf numFmtId="14" fontId="1" fillId="0" borderId="26" xfId="0" applyNumberFormat="1" applyFont="1" applyBorder="1"/>
    <xf numFmtId="0" fontId="1" fillId="0" borderId="0" xfId="0" applyFont="1"/>
    <xf numFmtId="4" fontId="0" fillId="0" borderId="13" xfId="0" applyNumberFormat="1" applyBorder="1"/>
    <xf numFmtId="165" fontId="2" fillId="0" borderId="13" xfId="0" applyNumberFormat="1" applyFont="1" applyBorder="1" applyAlignment="1">
      <alignment horizontal="center"/>
    </xf>
    <xf numFmtId="4" fontId="0" fillId="0" borderId="13" xfId="0" applyNumberFormat="1" applyBorder="1" applyAlignment="1">
      <alignment horizontal="left"/>
    </xf>
    <xf numFmtId="4" fontId="2" fillId="0" borderId="13" xfId="0" applyNumberFormat="1" applyFont="1" applyBorder="1" applyAlignment="1">
      <alignment horizontal="left"/>
    </xf>
    <xf numFmtId="4" fontId="0" fillId="0" borderId="14" xfId="0" applyNumberFormat="1" applyBorder="1" applyAlignment="1">
      <alignment horizontal="left"/>
    </xf>
    <xf numFmtId="4" fontId="0" fillId="0" borderId="15" xfId="0" applyNumberFormat="1" applyBorder="1" applyAlignment="1">
      <alignment horizontal="left"/>
    </xf>
    <xf numFmtId="4" fontId="0" fillId="0" borderId="16" xfId="0" applyNumberFormat="1" applyBorder="1" applyAlignment="1">
      <alignment horizontal="left"/>
    </xf>
    <xf numFmtId="2" fontId="0" fillId="0" borderId="7" xfId="0" applyNumberFormat="1" applyBorder="1" applyAlignment="1">
      <alignment horizontal="left"/>
    </xf>
    <xf numFmtId="0" fontId="0" fillId="0" borderId="7" xfId="0" applyBorder="1" applyAlignment="1">
      <alignment horizontal="left"/>
    </xf>
    <xf numFmtId="4" fontId="0" fillId="0" borderId="19" xfId="0" applyNumberFormat="1" applyBorder="1" applyAlignment="1">
      <alignment horizontal="left"/>
    </xf>
    <xf numFmtId="4" fontId="0" fillId="0" borderId="20" xfId="0" applyNumberFormat="1" applyBorder="1" applyAlignment="1">
      <alignment horizontal="left"/>
    </xf>
    <xf numFmtId="166" fontId="24" fillId="0" borderId="7" xfId="0" applyNumberFormat="1" applyFont="1" applyBorder="1" applyAlignment="1">
      <alignment horizontal="left" wrapText="1"/>
    </xf>
    <xf numFmtId="4" fontId="0" fillId="0" borderId="24" xfId="0" applyNumberFormat="1" applyBorder="1"/>
    <xf numFmtId="4" fontId="0" fillId="0" borderId="13" xfId="0" quotePrefix="1" applyNumberFormat="1" applyBorder="1" applyAlignment="1">
      <alignment horizontal="left"/>
    </xf>
    <xf numFmtId="4" fontId="1" fillId="0" borderId="38" xfId="0" applyNumberFormat="1" applyFont="1" applyBorder="1"/>
    <xf numFmtId="4" fontId="1" fillId="0" borderId="12" xfId="0" applyNumberFormat="1" applyFont="1" applyBorder="1"/>
    <xf numFmtId="166" fontId="1" fillId="0" borderId="7" xfId="0" applyNumberFormat="1" applyFont="1" applyBorder="1" applyAlignment="1">
      <alignment horizontal="left" wrapText="1"/>
    </xf>
    <xf numFmtId="4" fontId="0" fillId="0" borderId="17" xfId="0" applyNumberFormat="1" applyBorder="1" applyAlignment="1">
      <alignment horizontal="left"/>
    </xf>
    <xf numFmtId="4" fontId="0" fillId="0" borderId="18" xfId="0" applyNumberFormat="1" applyBorder="1" applyAlignment="1">
      <alignment horizontal="left"/>
    </xf>
    <xf numFmtId="4" fontId="0" fillId="0" borderId="7" xfId="0" applyNumberFormat="1" applyBorder="1" applyAlignment="1">
      <alignment horizontal="right"/>
    </xf>
    <xf numFmtId="0" fontId="1" fillId="0" borderId="17" xfId="0" applyFont="1" applyBorder="1"/>
    <xf numFmtId="0" fontId="28" fillId="0" borderId="7" xfId="0" applyFont="1" applyBorder="1"/>
    <xf numFmtId="0" fontId="5" fillId="0" borderId="7" xfId="0" applyFont="1" applyBorder="1"/>
    <xf numFmtId="0" fontId="0" fillId="0" borderId="22" xfId="0" applyBorder="1" applyAlignment="1">
      <alignment vertical="center"/>
    </xf>
    <xf numFmtId="4" fontId="0" fillId="0" borderId="22" xfId="0" applyNumberFormat="1" applyBorder="1" applyAlignment="1">
      <alignment vertical="center"/>
    </xf>
    <xf numFmtId="0" fontId="0" fillId="0" borderId="7" xfId="0" applyBorder="1" applyAlignment="1">
      <alignment vertical="center"/>
    </xf>
    <xf numFmtId="2" fontId="28" fillId="0" borderId="7" xfId="0" applyNumberFormat="1" applyFont="1" applyBorder="1"/>
    <xf numFmtId="2" fontId="28" fillId="0" borderId="7" xfId="0" applyNumberFormat="1" applyFont="1" applyBorder="1" applyAlignment="1">
      <alignment horizontal="center"/>
    </xf>
    <xf numFmtId="2" fontId="28" fillId="0" borderId="7" xfId="0" applyNumberFormat="1" applyFont="1" applyBorder="1" applyAlignment="1">
      <alignment vertical="center"/>
    </xf>
    <xf numFmtId="0" fontId="28" fillId="0" borderId="0" xfId="0" applyFont="1"/>
    <xf numFmtId="0" fontId="24" fillId="0" borderId="0" xfId="0" applyFont="1"/>
    <xf numFmtId="2" fontId="28" fillId="0" borderId="0" xfId="0" applyNumberFormat="1" applyFont="1"/>
    <xf numFmtId="4" fontId="0" fillId="0" borderId="12" xfId="0" applyNumberFormat="1" applyBorder="1" applyAlignment="1">
      <alignment horizontal="center" vertical="center"/>
    </xf>
    <xf numFmtId="4" fontId="0" fillId="0" borderId="0" xfId="0" applyNumberFormat="1" applyAlignment="1">
      <alignment horizontal="center"/>
    </xf>
    <xf numFmtId="4" fontId="0" fillId="0" borderId="17" xfId="0" applyNumberFormat="1" applyBorder="1" applyAlignment="1">
      <alignment horizontal="center"/>
    </xf>
    <xf numFmtId="4" fontId="26" fillId="0" borderId="26" xfId="0" applyNumberFormat="1" applyFont="1" applyBorder="1" applyAlignment="1">
      <alignment horizontal="center"/>
    </xf>
    <xf numFmtId="4" fontId="2" fillId="0" borderId="7" xfId="0" applyNumberFormat="1" applyFont="1" applyBorder="1" applyAlignment="1">
      <alignment wrapText="1"/>
    </xf>
    <xf numFmtId="0" fontId="0" fillId="0" borderId="7" xfId="0" applyBorder="1" applyAlignment="1">
      <alignment horizontal="left" indent="2"/>
    </xf>
    <xf numFmtId="0" fontId="25" fillId="0" borderId="27" xfId="0" applyFont="1" applyBorder="1"/>
    <xf numFmtId="4" fontId="0" fillId="0" borderId="28" xfId="0" applyNumberFormat="1" applyBorder="1"/>
    <xf numFmtId="4" fontId="0" fillId="0" borderId="35" xfId="0" applyNumberFormat="1" applyBorder="1"/>
    <xf numFmtId="0" fontId="2" fillId="0" borderId="26" xfId="0" applyFont="1" applyBorder="1"/>
    <xf numFmtId="4" fontId="2" fillId="0" borderId="38" xfId="0" applyNumberFormat="1" applyFont="1" applyBorder="1"/>
    <xf numFmtId="0" fontId="0" fillId="0" borderId="41" xfId="0" applyBorder="1"/>
    <xf numFmtId="0" fontId="0" fillId="0" borderId="42" xfId="0" applyBorder="1"/>
    <xf numFmtId="4" fontId="0" fillId="0" borderId="42" xfId="0" applyNumberFormat="1" applyBorder="1"/>
    <xf numFmtId="4" fontId="0" fillId="0" borderId="43" xfId="0" applyNumberFormat="1" applyBorder="1"/>
    <xf numFmtId="3" fontId="0" fillId="0" borderId="0" xfId="0" applyNumberFormat="1"/>
    <xf numFmtId="4" fontId="0" fillId="0" borderId="17" xfId="0" applyNumberFormat="1" applyBorder="1"/>
    <xf numFmtId="4" fontId="0" fillId="0" borderId="38" xfId="0" applyNumberFormat="1" applyBorder="1"/>
    <xf numFmtId="4" fontId="1" fillId="0" borderId="7" xfId="0" applyNumberFormat="1" applyFont="1" applyBorder="1" applyAlignment="1">
      <alignment horizontal="right"/>
    </xf>
    <xf numFmtId="2" fontId="1" fillId="0" borderId="7" xfId="0" applyNumberFormat="1" applyFont="1" applyBorder="1"/>
    <xf numFmtId="4" fontId="2" fillId="0" borderId="17" xfId="0" applyNumberFormat="1" applyFont="1" applyBorder="1"/>
    <xf numFmtId="4" fontId="2" fillId="0" borderId="7" xfId="0" applyNumberFormat="1" applyFont="1" applyBorder="1"/>
    <xf numFmtId="4" fontId="1" fillId="0" borderId="0" xfId="0" applyNumberFormat="1" applyFont="1"/>
    <xf numFmtId="0" fontId="1" fillId="0" borderId="7" xfId="0" applyFont="1" applyBorder="1" applyAlignment="1">
      <alignment horizontal="left" indent="2"/>
    </xf>
    <xf numFmtId="4" fontId="1" fillId="0" borderId="17" xfId="0" applyNumberFormat="1" applyFont="1" applyBorder="1" applyAlignment="1">
      <alignment horizontal="right"/>
    </xf>
    <xf numFmtId="4" fontId="1" fillId="0" borderId="13" xfId="0" applyNumberFormat="1" applyFont="1" applyBorder="1" applyAlignment="1">
      <alignment horizontal="left"/>
    </xf>
    <xf numFmtId="0" fontId="0" fillId="0" borderId="10" xfId="0" applyBorder="1"/>
    <xf numFmtId="4" fontId="1" fillId="0" borderId="17" xfId="0" applyNumberFormat="1" applyFont="1" applyBorder="1"/>
    <xf numFmtId="0" fontId="24" fillId="0" borderId="7" xfId="0" applyFont="1" applyBorder="1" applyAlignment="1">
      <alignment wrapText="1"/>
    </xf>
    <xf numFmtId="4" fontId="30" fillId="0" borderId="12" xfId="0" applyNumberFormat="1" applyFont="1" applyBorder="1" applyAlignment="1">
      <alignment horizontal="center"/>
    </xf>
    <xf numFmtId="4" fontId="1" fillId="0" borderId="24" xfId="0" applyNumberFormat="1" applyFont="1" applyBorder="1"/>
    <xf numFmtId="4" fontId="2" fillId="0" borderId="17" xfId="0" applyNumberFormat="1" applyFont="1" applyBorder="1" applyAlignment="1">
      <alignment horizontal="left"/>
    </xf>
    <xf numFmtId="4" fontId="29" fillId="0" borderId="0" xfId="0" applyNumberFormat="1" applyFont="1"/>
    <xf numFmtId="0" fontId="29" fillId="0" borderId="0" xfId="0" applyFont="1"/>
    <xf numFmtId="0" fontId="29" fillId="0" borderId="7" xfId="0" applyFont="1" applyBorder="1"/>
    <xf numFmtId="4" fontId="29" fillId="0" borderId="7" xfId="0" applyNumberFormat="1" applyFont="1" applyBorder="1"/>
    <xf numFmtId="0" fontId="3" fillId="0" borderId="0" xfId="0" applyFont="1" applyAlignment="1">
      <alignment vertical="top"/>
    </xf>
    <xf numFmtId="3" fontId="2" fillId="0" borderId="0" xfId="0" applyNumberFormat="1" applyFont="1" applyAlignment="1" applyProtection="1">
      <alignment horizontal="center"/>
      <protection locked="0"/>
    </xf>
    <xf numFmtId="0" fontId="31" fillId="0" borderId="0" xfId="0" applyFont="1"/>
    <xf numFmtId="0" fontId="32" fillId="0" borderId="0" xfId="0" applyFont="1" applyAlignment="1">
      <alignment wrapText="1"/>
    </xf>
    <xf numFmtId="0" fontId="32" fillId="0" borderId="0" xfId="0" applyFont="1"/>
    <xf numFmtId="0" fontId="33" fillId="0" borderId="0" xfId="0" applyFont="1"/>
    <xf numFmtId="3" fontId="2" fillId="24" borderId="0" xfId="0" applyNumberFormat="1" applyFont="1" applyFill="1" applyAlignment="1" applyProtection="1">
      <alignment horizontal="center"/>
      <protection locked="0"/>
    </xf>
    <xf numFmtId="0" fontId="32" fillId="24" borderId="0" xfId="0" applyFont="1" applyFill="1"/>
    <xf numFmtId="0" fontId="30" fillId="0" borderId="0" xfId="0" applyFont="1"/>
    <xf numFmtId="0" fontId="38" fillId="0" borderId="0" xfId="0" applyFont="1" applyAlignment="1">
      <alignment horizontal="left" vertical="center" indent="2"/>
    </xf>
    <xf numFmtId="0" fontId="32" fillId="0" borderId="0" xfId="0" applyFont="1" applyAlignment="1">
      <alignment horizontal="center"/>
    </xf>
    <xf numFmtId="0" fontId="39" fillId="0" borderId="0" xfId="0" applyFont="1"/>
    <xf numFmtId="0" fontId="39" fillId="0" borderId="0" xfId="0" applyFont="1" applyAlignment="1">
      <alignment horizontal="center"/>
    </xf>
    <xf numFmtId="0" fontId="39" fillId="0" borderId="0" xfId="0" applyFont="1" applyAlignment="1">
      <alignment horizontal="center" wrapText="1"/>
    </xf>
    <xf numFmtId="0" fontId="32" fillId="25" borderId="52" xfId="0" applyFont="1" applyFill="1" applyBorder="1" applyAlignment="1">
      <alignment wrapText="1"/>
    </xf>
    <xf numFmtId="0" fontId="39" fillId="0" borderId="52" xfId="0" applyFont="1" applyBorder="1" applyAlignment="1">
      <alignment wrapText="1"/>
    </xf>
    <xf numFmtId="3" fontId="2" fillId="26" borderId="53" xfId="0" applyNumberFormat="1" applyFont="1" applyFill="1" applyBorder="1" applyAlignment="1" applyProtection="1">
      <alignment horizontal="center"/>
      <protection locked="0"/>
    </xf>
    <xf numFmtId="3" fontId="32" fillId="0" borderId="0" xfId="0" applyNumberFormat="1" applyFont="1"/>
    <xf numFmtId="0" fontId="32" fillId="0" borderId="52" xfId="0" applyFont="1" applyBorder="1" applyAlignment="1">
      <alignment wrapText="1"/>
    </xf>
    <xf numFmtId="10" fontId="32" fillId="0" borderId="0" xfId="0" applyNumberFormat="1" applyFont="1"/>
    <xf numFmtId="49" fontId="1" fillId="0" borderId="45" xfId="0" applyNumberFormat="1" applyFont="1" applyBorder="1" applyAlignment="1">
      <alignment wrapText="1"/>
    </xf>
    <xf numFmtId="3" fontId="2" fillId="27" borderId="53" xfId="0" applyNumberFormat="1" applyFont="1" applyFill="1" applyBorder="1" applyAlignment="1" applyProtection="1">
      <alignment horizontal="center"/>
      <protection locked="0"/>
    </xf>
    <xf numFmtId="0" fontId="32" fillId="28" borderId="52" xfId="0" applyFont="1" applyFill="1" applyBorder="1" applyAlignment="1">
      <alignment wrapText="1"/>
    </xf>
    <xf numFmtId="0" fontId="32" fillId="0" borderId="0" xfId="0" applyFont="1" applyAlignment="1">
      <alignment horizontal="center" wrapText="1"/>
    </xf>
    <xf numFmtId="0" fontId="39" fillId="29" borderId="52" xfId="0" applyFont="1" applyFill="1" applyBorder="1" applyAlignment="1">
      <alignment horizontal="center" wrapText="1"/>
    </xf>
    <xf numFmtId="0" fontId="32" fillId="0" borderId="0" xfId="0" applyFont="1" applyAlignment="1">
      <alignment horizontal="left" vertical="top" wrapText="1"/>
    </xf>
    <xf numFmtId="0" fontId="42" fillId="0" borderId="0" xfId="0" applyFont="1"/>
    <xf numFmtId="0" fontId="0" fillId="0" borderId="50" xfId="0" applyBorder="1"/>
    <xf numFmtId="167" fontId="0" fillId="0" borderId="50" xfId="0" applyNumberFormat="1" applyBorder="1"/>
    <xf numFmtId="0" fontId="1" fillId="0" borderId="50" xfId="0" applyFont="1" applyBorder="1"/>
    <xf numFmtId="164" fontId="0" fillId="0" borderId="50" xfId="0" applyNumberFormat="1" applyBorder="1"/>
    <xf numFmtId="4" fontId="0" fillId="0" borderId="50" xfId="0" applyNumberFormat="1" applyBorder="1"/>
    <xf numFmtId="0" fontId="1" fillId="0" borderId="50" xfId="0" applyFont="1" applyBorder="1" applyAlignment="1">
      <alignment wrapText="1"/>
    </xf>
    <xf numFmtId="0" fontId="30" fillId="0" borderId="50" xfId="0" applyFont="1" applyBorder="1"/>
    <xf numFmtId="4" fontId="1" fillId="0" borderId="50" xfId="0" applyNumberFormat="1" applyFont="1" applyBorder="1"/>
    <xf numFmtId="166" fontId="1" fillId="0" borderId="50" xfId="0" applyNumberFormat="1" applyFont="1" applyBorder="1" applyAlignment="1">
      <alignment horizontal="left" wrapText="1" indent="3"/>
    </xf>
    <xf numFmtId="0" fontId="0" fillId="0" borderId="55" xfId="0" applyBorder="1"/>
    <xf numFmtId="2" fontId="0" fillId="0" borderId="55" xfId="0" applyNumberFormat="1" applyBorder="1"/>
    <xf numFmtId="0" fontId="0" fillId="0" borderId="56" xfId="0" applyBorder="1"/>
    <xf numFmtId="167" fontId="0" fillId="0" borderId="56" xfId="0" applyNumberFormat="1" applyBorder="1"/>
    <xf numFmtId="0" fontId="25" fillId="0" borderId="46" xfId="0" applyFont="1" applyBorder="1"/>
    <xf numFmtId="168" fontId="0" fillId="0" borderId="47" xfId="0" applyNumberFormat="1" applyBorder="1"/>
    <xf numFmtId="0" fontId="0" fillId="0" borderId="47" xfId="0" applyBorder="1"/>
    <xf numFmtId="0" fontId="0" fillId="0" borderId="48" xfId="0" applyBorder="1"/>
    <xf numFmtId="0" fontId="0" fillId="0" borderId="49" xfId="0" applyBorder="1"/>
    <xf numFmtId="0" fontId="0" fillId="0" borderId="51" xfId="0" applyBorder="1"/>
    <xf numFmtId="0" fontId="3" fillId="0" borderId="49" xfId="0" applyFont="1" applyBorder="1"/>
    <xf numFmtId="0" fontId="1" fillId="0" borderId="49" xfId="0" applyFont="1" applyBorder="1"/>
    <xf numFmtId="164" fontId="0" fillId="0" borderId="51" xfId="0" applyNumberFormat="1" applyBorder="1"/>
    <xf numFmtId="4" fontId="0" fillId="0" borderId="51" xfId="0" applyNumberFormat="1" applyBorder="1"/>
    <xf numFmtId="167" fontId="1" fillId="0" borderId="49" xfId="0" applyNumberFormat="1" applyFont="1" applyBorder="1"/>
    <xf numFmtId="167" fontId="0" fillId="0" borderId="49" xfId="0" applyNumberFormat="1" applyBorder="1"/>
    <xf numFmtId="0" fontId="0" fillId="0" borderId="57" xfId="0" applyBorder="1"/>
    <xf numFmtId="0" fontId="0" fillId="0" borderId="58" xfId="0" applyBorder="1"/>
    <xf numFmtId="167" fontId="0" fillId="0" borderId="58" xfId="0" applyNumberFormat="1" applyBorder="1"/>
    <xf numFmtId="0" fontId="0" fillId="0" borderId="59" xfId="0" applyBorder="1"/>
    <xf numFmtId="0" fontId="0" fillId="0" borderId="60" xfId="0" applyBorder="1"/>
    <xf numFmtId="167" fontId="0" fillId="0" borderId="24" xfId="0" applyNumberFormat="1" applyBorder="1"/>
    <xf numFmtId="0" fontId="42" fillId="0" borderId="50" xfId="0" applyFont="1" applyBorder="1"/>
    <xf numFmtId="0" fontId="42" fillId="27" borderId="50" xfId="0" applyFont="1" applyFill="1" applyBorder="1"/>
    <xf numFmtId="3" fontId="42" fillId="27" borderId="50" xfId="0" applyNumberFormat="1" applyFont="1" applyFill="1" applyBorder="1"/>
    <xf numFmtId="0" fontId="42" fillId="0" borderId="58" xfId="0" applyFont="1" applyBorder="1"/>
    <xf numFmtId="0" fontId="42" fillId="0" borderId="47" xfId="0" applyFont="1" applyBorder="1"/>
    <xf numFmtId="0" fontId="42" fillId="0" borderId="56" xfId="0" applyFont="1" applyBorder="1"/>
    <xf numFmtId="3" fontId="42" fillId="0" borderId="50" xfId="0" applyNumberFormat="1" applyFont="1" applyBorder="1"/>
    <xf numFmtId="3" fontId="43" fillId="0" borderId="50" xfId="0" applyNumberFormat="1" applyFont="1" applyBorder="1"/>
    <xf numFmtId="3" fontId="42" fillId="0" borderId="58" xfId="0" applyNumberFormat="1" applyFont="1" applyBorder="1"/>
    <xf numFmtId="3" fontId="42" fillId="0" borderId="47" xfId="0" applyNumberFormat="1" applyFont="1" applyBorder="1"/>
    <xf numFmtId="3" fontId="43" fillId="0" borderId="61" xfId="0" applyNumberFormat="1" applyFont="1" applyBorder="1"/>
    <xf numFmtId="3" fontId="42" fillId="0" borderId="56" xfId="0" applyNumberFormat="1" applyFont="1" applyBorder="1"/>
    <xf numFmtId="0" fontId="41" fillId="0" borderId="46" xfId="0" applyFont="1" applyBorder="1"/>
    <xf numFmtId="0" fontId="42" fillId="0" borderId="48" xfId="0" applyFont="1" applyBorder="1"/>
    <xf numFmtId="0" fontId="42" fillId="0" borderId="49" xfId="0" applyFont="1" applyBorder="1"/>
    <xf numFmtId="0" fontId="42" fillId="0" borderId="51" xfId="0" applyFont="1" applyBorder="1"/>
    <xf numFmtId="0" fontId="43" fillId="0" borderId="49" xfId="0" applyFont="1" applyBorder="1"/>
    <xf numFmtId="0" fontId="42" fillId="0" borderId="57" xfId="0" applyFont="1" applyBorder="1"/>
    <xf numFmtId="3" fontId="42" fillId="0" borderId="62" xfId="0" applyNumberFormat="1" applyFont="1" applyBorder="1"/>
    <xf numFmtId="0" fontId="42" fillId="0" borderId="59" xfId="0" applyFont="1" applyBorder="1"/>
    <xf numFmtId="0" fontId="42" fillId="0" borderId="24" xfId="0" applyFont="1" applyBorder="1"/>
    <xf numFmtId="3" fontId="42" fillId="0" borderId="24" xfId="0" applyNumberFormat="1" applyFont="1" applyBorder="1"/>
    <xf numFmtId="3" fontId="42" fillId="0" borderId="0" xfId="0" applyNumberFormat="1" applyFont="1"/>
    <xf numFmtId="4" fontId="1" fillId="0" borderId="10" xfId="0" applyNumberFormat="1" applyFont="1" applyBorder="1"/>
    <xf numFmtId="4" fontId="1" fillId="0" borderId="11" xfId="0" applyNumberFormat="1" applyFont="1" applyBorder="1"/>
    <xf numFmtId="4" fontId="1" fillId="0" borderId="12" xfId="0" applyNumberFormat="1" applyFont="1" applyBorder="1" applyAlignment="1">
      <alignment horizontal="center"/>
    </xf>
    <xf numFmtId="4" fontId="1" fillId="0" borderId="10" xfId="0" applyNumberFormat="1" applyFont="1" applyBorder="1" applyAlignment="1">
      <alignment horizontal="right"/>
    </xf>
    <xf numFmtId="4" fontId="1" fillId="0" borderId="11" xfId="0" applyNumberFormat="1" applyFont="1" applyBorder="1" applyAlignment="1">
      <alignment horizontal="right"/>
    </xf>
    <xf numFmtId="4" fontId="1" fillId="0" borderId="12" xfId="0" applyNumberFormat="1" applyFont="1" applyBorder="1" applyAlignment="1">
      <alignment horizontal="right"/>
    </xf>
    <xf numFmtId="2" fontId="1" fillId="0" borderId="7" xfId="0" applyNumberFormat="1" applyFont="1" applyBorder="1" applyAlignment="1">
      <alignment horizontal="left"/>
    </xf>
    <xf numFmtId="0" fontId="1" fillId="0" borderId="7" xfId="0" applyFont="1" applyBorder="1" applyAlignment="1">
      <alignment horizontal="left"/>
    </xf>
    <xf numFmtId="14" fontId="1" fillId="0" borderId="26" xfId="0" quotePrefix="1" applyNumberFormat="1" applyFont="1" applyBorder="1" applyAlignment="1">
      <alignment horizontal="right"/>
    </xf>
    <xf numFmtId="14" fontId="1" fillId="0" borderId="26" xfId="0" quotePrefix="1" applyNumberFormat="1" applyFont="1" applyBorder="1"/>
    <xf numFmtId="14" fontId="1" fillId="0" borderId="26" xfId="0" applyNumberFormat="1" applyFont="1" applyBorder="1" applyAlignment="1">
      <alignment wrapText="1"/>
    </xf>
    <xf numFmtId="2" fontId="29" fillId="0" borderId="7" xfId="0" applyNumberFormat="1" applyFont="1" applyBorder="1"/>
    <xf numFmtId="2" fontId="29" fillId="0" borderId="7" xfId="0" applyNumberFormat="1" applyFont="1" applyBorder="1" applyAlignment="1">
      <alignment horizontal="center"/>
    </xf>
    <xf numFmtId="2" fontId="29" fillId="0" borderId="7" xfId="0" applyNumberFormat="1" applyFont="1" applyBorder="1" applyAlignment="1">
      <alignment horizontal="left"/>
    </xf>
    <xf numFmtId="2" fontId="29" fillId="0" borderId="7" xfId="0" applyNumberFormat="1" applyFont="1" applyBorder="1" applyAlignment="1">
      <alignment vertical="center"/>
    </xf>
    <xf numFmtId="2" fontId="29" fillId="0" borderId="0" xfId="0" applyNumberFormat="1" applyFont="1"/>
    <xf numFmtId="2" fontId="29" fillId="0" borderId="17" xfId="0" applyNumberFormat="1" applyFont="1" applyBorder="1"/>
    <xf numFmtId="4" fontId="1" fillId="0" borderId="7" xfId="0" applyNumberFormat="1" applyFont="1" applyBorder="1" applyAlignment="1">
      <alignment horizontal="left"/>
    </xf>
    <xf numFmtId="4" fontId="2" fillId="0" borderId="7" xfId="0" applyNumberFormat="1" applyFont="1" applyBorder="1" applyAlignment="1">
      <alignment horizontal="left"/>
    </xf>
    <xf numFmtId="3" fontId="43" fillId="0" borderId="47" xfId="0" quotePrefix="1" applyNumberFormat="1" applyFont="1" applyBorder="1"/>
    <xf numFmtId="4" fontId="29" fillId="0" borderId="24" xfId="0" quotePrefix="1" applyNumberFormat="1" applyFont="1" applyBorder="1"/>
    <xf numFmtId="2" fontId="1" fillId="0" borderId="0" xfId="0" applyNumberFormat="1" applyFont="1"/>
    <xf numFmtId="0" fontId="28" fillId="0" borderId="12" xfId="0" applyFont="1" applyBorder="1"/>
    <xf numFmtId="4" fontId="30" fillId="0" borderId="7" xfId="0" applyNumberFormat="1" applyFont="1" applyBorder="1" applyAlignment="1">
      <alignment horizontal="right"/>
    </xf>
    <xf numFmtId="4" fontId="30" fillId="0" borderId="7" xfId="0" applyNumberFormat="1" applyFont="1" applyBorder="1"/>
    <xf numFmtId="0" fontId="30" fillId="0" borderId="7" xfId="0" applyFont="1" applyBorder="1"/>
    <xf numFmtId="0" fontId="1" fillId="0" borderId="12" xfId="0" applyFont="1" applyBorder="1"/>
    <xf numFmtId="2" fontId="1" fillId="0" borderId="55" xfId="0" applyNumberFormat="1" applyFont="1" applyBorder="1"/>
    <xf numFmtId="4" fontId="1" fillId="0" borderId="51" xfId="0" applyNumberFormat="1" applyFont="1" applyBorder="1"/>
    <xf numFmtId="0" fontId="45" fillId="0" borderId="0" xfId="0" applyFont="1"/>
    <xf numFmtId="4" fontId="0" fillId="0" borderId="55" xfId="0" applyNumberFormat="1" applyBorder="1"/>
    <xf numFmtId="2" fontId="46" fillId="0" borderId="7" xfId="0" applyNumberFormat="1" applyFont="1" applyBorder="1"/>
    <xf numFmtId="4" fontId="1" fillId="0" borderId="35" xfId="0" applyNumberFormat="1" applyFont="1" applyBorder="1"/>
    <xf numFmtId="4" fontId="1" fillId="0" borderId="38" xfId="0" applyNumberFormat="1" applyFont="1" applyBorder="1" applyAlignment="1">
      <alignment horizontal="center"/>
    </xf>
    <xf numFmtId="4" fontId="1" fillId="0" borderId="39" xfId="0" applyNumberFormat="1" applyFont="1" applyBorder="1" applyAlignment="1">
      <alignment horizontal="left"/>
    </xf>
    <xf numFmtId="4" fontId="1" fillId="0" borderId="40" xfId="0" applyNumberFormat="1" applyFont="1" applyBorder="1" applyAlignment="1">
      <alignment horizontal="left"/>
    </xf>
    <xf numFmtId="14" fontId="1" fillId="0" borderId="7" xfId="0" applyNumberFormat="1" applyFont="1" applyBorder="1" applyAlignment="1">
      <alignment wrapText="1"/>
    </xf>
    <xf numFmtId="14" fontId="1" fillId="0" borderId="50" xfId="0" applyNumberFormat="1" applyFont="1" applyBorder="1" applyAlignment="1">
      <alignment horizontal="left" wrapText="1"/>
    </xf>
    <xf numFmtId="4" fontId="1" fillId="0" borderId="12" xfId="0" quotePrefix="1" applyNumberFormat="1" applyFont="1" applyBorder="1" applyAlignment="1">
      <alignment horizontal="center"/>
    </xf>
    <xf numFmtId="4" fontId="1" fillId="0" borderId="26" xfId="0" applyNumberFormat="1" applyFont="1" applyBorder="1" applyAlignment="1">
      <alignment horizontal="center"/>
    </xf>
    <xf numFmtId="4" fontId="1" fillId="0" borderId="7" xfId="0" applyNumberFormat="1" applyFont="1" applyBorder="1" applyAlignment="1">
      <alignment horizontal="center"/>
    </xf>
    <xf numFmtId="4" fontId="30" fillId="0" borderId="7" xfId="0" applyNumberFormat="1" applyFont="1" applyBorder="1" applyAlignment="1">
      <alignment horizontal="center"/>
    </xf>
    <xf numFmtId="0" fontId="0" fillId="0" borderId="64" xfId="0" applyBorder="1"/>
    <xf numFmtId="0" fontId="44" fillId="0" borderId="7" xfId="0" applyFont="1" applyBorder="1"/>
    <xf numFmtId="0" fontId="24" fillId="0" borderId="28" xfId="0" applyFont="1" applyBorder="1" applyAlignment="1">
      <alignment wrapText="1"/>
    </xf>
    <xf numFmtId="0" fontId="27" fillId="0" borderId="7" xfId="0" applyFont="1" applyBorder="1" applyAlignment="1">
      <alignment wrapText="1"/>
    </xf>
    <xf numFmtId="166" fontId="27" fillId="0" borderId="13" xfId="0" applyNumberFormat="1" applyFont="1" applyBorder="1" applyAlignment="1">
      <alignment horizontal="left" wrapText="1"/>
    </xf>
    <xf numFmtId="166" fontId="27" fillId="0" borderId="7" xfId="0" applyNumberFormat="1" applyFont="1" applyBorder="1" applyAlignment="1">
      <alignment horizontal="left" wrapText="1"/>
    </xf>
    <xf numFmtId="166" fontId="24" fillId="0" borderId="22" xfId="0" applyNumberFormat="1" applyFont="1" applyBorder="1" applyAlignment="1">
      <alignment horizontal="left" vertical="center" wrapText="1"/>
    </xf>
    <xf numFmtId="0" fontId="24" fillId="0" borderId="0" xfId="0" applyFont="1" applyAlignment="1">
      <alignment wrapText="1"/>
    </xf>
    <xf numFmtId="0" fontId="47" fillId="0" borderId="0" xfId="0" applyFont="1"/>
    <xf numFmtId="0" fontId="48" fillId="0" borderId="27" xfId="0" applyFont="1" applyBorder="1"/>
    <xf numFmtId="0" fontId="48" fillId="0" borderId="26" xfId="0" applyFont="1" applyBorder="1"/>
    <xf numFmtId="0" fontId="24" fillId="0" borderId="26" xfId="0" applyFont="1" applyBorder="1"/>
    <xf numFmtId="165" fontId="27" fillId="0" borderId="32" xfId="0" applyNumberFormat="1" applyFont="1" applyBorder="1" applyAlignment="1">
      <alignment horizontal="left"/>
    </xf>
    <xf numFmtId="14" fontId="27" fillId="0" borderId="26" xfId="0" applyNumberFormat="1" applyFont="1" applyBorder="1"/>
    <xf numFmtId="0" fontId="24" fillId="0" borderId="34" xfId="0" applyFont="1" applyBorder="1" applyAlignment="1">
      <alignment vertical="center"/>
    </xf>
    <xf numFmtId="0" fontId="24" fillId="0" borderId="44" xfId="0" applyFont="1" applyBorder="1"/>
    <xf numFmtId="0" fontId="24" fillId="0" borderId="33" xfId="0" applyFont="1" applyBorder="1"/>
    <xf numFmtId="0" fontId="24" fillId="0" borderId="26" xfId="0" quotePrefix="1" applyFont="1" applyBorder="1"/>
    <xf numFmtId="0" fontId="1" fillId="0" borderId="26" xfId="0" applyFont="1" applyBorder="1" applyAlignment="1">
      <alignment horizontal="left" wrapText="1" indent="2"/>
    </xf>
    <xf numFmtId="14" fontId="1" fillId="0" borderId="63" xfId="0" applyNumberFormat="1" applyFont="1" applyBorder="1" applyAlignment="1">
      <alignment horizontal="right"/>
    </xf>
    <xf numFmtId="4" fontId="0" fillId="0" borderId="10" xfId="0" applyNumberFormat="1" applyBorder="1" applyAlignment="1">
      <alignment horizontal="right"/>
    </xf>
    <xf numFmtId="4" fontId="0" fillId="0" borderId="11" xfId="0" applyNumberFormat="1" applyBorder="1" applyAlignment="1">
      <alignment horizontal="right"/>
    </xf>
    <xf numFmtId="4" fontId="0" fillId="0" borderId="12" xfId="0" applyNumberFormat="1" applyBorder="1" applyAlignment="1">
      <alignment horizontal="right"/>
    </xf>
    <xf numFmtId="4" fontId="0" fillId="0" borderId="12" xfId="0" applyNumberFormat="1" applyBorder="1" applyAlignment="1">
      <alignment horizontal="center"/>
    </xf>
    <xf numFmtId="14" fontId="1" fillId="0" borderId="63" xfId="0" applyNumberFormat="1" applyFont="1" applyBorder="1"/>
    <xf numFmtId="14" fontId="37" fillId="0" borderId="63" xfId="0" applyNumberFormat="1" applyFont="1" applyBorder="1" applyAlignment="1">
      <alignment horizontal="right"/>
    </xf>
    <xf numFmtId="0" fontId="37" fillId="0" borderId="0" xfId="0" applyFont="1"/>
    <xf numFmtId="4" fontId="37" fillId="0" borderId="7" xfId="0" applyNumberFormat="1" applyFont="1" applyBorder="1"/>
    <xf numFmtId="0" fontId="37" fillId="0" borderId="7" xfId="0" applyFont="1" applyBorder="1"/>
    <xf numFmtId="4" fontId="37" fillId="0" borderId="10" xfId="0" applyNumberFormat="1" applyFont="1" applyBorder="1"/>
    <xf numFmtId="4" fontId="37" fillId="0" borderId="11" xfId="0" applyNumberFormat="1" applyFont="1" applyBorder="1"/>
    <xf numFmtId="4" fontId="37" fillId="0" borderId="12" xfId="0" applyNumberFormat="1" applyFont="1" applyBorder="1" applyAlignment="1">
      <alignment horizontal="right"/>
    </xf>
    <xf numFmtId="4" fontId="37" fillId="0" borderId="7" xfId="0" applyNumberFormat="1" applyFont="1" applyBorder="1" applyAlignment="1">
      <alignment horizontal="right"/>
    </xf>
    <xf numFmtId="4" fontId="37" fillId="0" borderId="12" xfId="0" applyNumberFormat="1" applyFont="1" applyBorder="1" applyAlignment="1">
      <alignment horizontal="center"/>
    </xf>
    <xf numFmtId="2" fontId="37" fillId="0" borderId="0" xfId="0" applyNumberFormat="1" applyFont="1"/>
    <xf numFmtId="2" fontId="37" fillId="0" borderId="7" xfId="0" applyNumberFormat="1" applyFont="1" applyBorder="1"/>
    <xf numFmtId="0" fontId="37" fillId="0" borderId="17" xfId="0" applyFont="1" applyBorder="1"/>
    <xf numFmtId="14" fontId="37" fillId="0" borderId="26" xfId="0" applyNumberFormat="1" applyFont="1" applyBorder="1"/>
    <xf numFmtId="166" fontId="37" fillId="0" borderId="7" xfId="0" applyNumberFormat="1" applyFont="1" applyBorder="1" applyAlignment="1">
      <alignment horizontal="left" wrapText="1"/>
    </xf>
    <xf numFmtId="0" fontId="49" fillId="0" borderId="0" xfId="0" applyFont="1"/>
    <xf numFmtId="169" fontId="1" fillId="0" borderId="7" xfId="0" applyNumberFormat="1" applyFont="1" applyBorder="1" applyAlignment="1">
      <alignment horizontal="right"/>
    </xf>
    <xf numFmtId="0" fontId="50" fillId="0" borderId="0" xfId="0" applyFont="1"/>
    <xf numFmtId="14" fontId="27" fillId="0" borderId="63" xfId="0" applyNumberFormat="1" applyFont="1" applyBorder="1" applyAlignment="1">
      <alignment horizontal="right"/>
    </xf>
    <xf numFmtId="14" fontId="36" fillId="0" borderId="63" xfId="0" applyNumberFormat="1" applyFont="1" applyBorder="1" applyAlignment="1">
      <alignment horizontal="right"/>
    </xf>
    <xf numFmtId="0" fontId="36" fillId="0" borderId="0" xfId="0" applyFont="1"/>
    <xf numFmtId="0" fontId="51" fillId="0" borderId="7" xfId="0" applyFont="1" applyBorder="1"/>
    <xf numFmtId="4" fontId="51" fillId="0" borderId="7" xfId="0" applyNumberFormat="1" applyFont="1" applyBorder="1"/>
    <xf numFmtId="4" fontId="51" fillId="0" borderId="7" xfId="0" applyNumberFormat="1" applyFont="1" applyBorder="1" applyAlignment="1">
      <alignment horizontal="right"/>
    </xf>
    <xf numFmtId="4" fontId="51" fillId="0" borderId="10" xfId="0" applyNumberFormat="1" applyFont="1" applyBorder="1" applyAlignment="1">
      <alignment horizontal="right"/>
    </xf>
    <xf numFmtId="4" fontId="51" fillId="0" borderId="11" xfId="0" applyNumberFormat="1" applyFont="1" applyBorder="1" applyAlignment="1">
      <alignment horizontal="right"/>
    </xf>
    <xf numFmtId="4" fontId="51" fillId="0" borderId="12" xfId="0" applyNumberFormat="1" applyFont="1" applyBorder="1" applyAlignment="1">
      <alignment horizontal="right"/>
    </xf>
    <xf numFmtId="4" fontId="51" fillId="0" borderId="17" xfId="0" applyNumberFormat="1" applyFont="1" applyBorder="1" applyAlignment="1">
      <alignment horizontal="right"/>
    </xf>
    <xf numFmtId="4" fontId="51" fillId="0" borderId="12" xfId="0" applyNumberFormat="1" applyFont="1" applyBorder="1" applyAlignment="1">
      <alignment horizontal="center"/>
    </xf>
    <xf numFmtId="0" fontId="46" fillId="0" borderId="7" xfId="0" applyFont="1" applyBorder="1"/>
    <xf numFmtId="2" fontId="51" fillId="0" borderId="7" xfId="0" applyNumberFormat="1" applyFont="1" applyBorder="1" applyAlignment="1">
      <alignment horizontal="left"/>
    </xf>
    <xf numFmtId="2" fontId="30" fillId="0" borderId="7" xfId="0" applyNumberFormat="1" applyFont="1" applyBorder="1"/>
    <xf numFmtId="0" fontId="51" fillId="0" borderId="7" xfId="0" applyFont="1" applyBorder="1" applyAlignment="1">
      <alignment horizontal="left"/>
    </xf>
    <xf numFmtId="0" fontId="51" fillId="0" borderId="17" xfId="0" applyFont="1" applyBorder="1"/>
    <xf numFmtId="4" fontId="1" fillId="0" borderId="65" xfId="0" applyNumberFormat="1" applyFont="1" applyBorder="1" applyAlignment="1">
      <alignment horizontal="right"/>
    </xf>
    <xf numFmtId="4" fontId="1" fillId="0" borderId="21" xfId="0" applyNumberFormat="1" applyFont="1" applyBorder="1" applyAlignment="1">
      <alignment horizontal="right"/>
    </xf>
    <xf numFmtId="4" fontId="1" fillId="0" borderId="66" xfId="0" applyNumberFormat="1" applyFont="1" applyBorder="1" applyAlignment="1">
      <alignment horizontal="right"/>
    </xf>
    <xf numFmtId="2" fontId="1" fillId="0" borderId="7" xfId="0" applyNumberFormat="1" applyFont="1" applyBorder="1" applyAlignment="1">
      <alignment vertical="center"/>
    </xf>
    <xf numFmtId="0" fontId="0" fillId="0" borderId="23" xfId="0" applyBorder="1" applyAlignment="1">
      <alignment horizontal="center"/>
    </xf>
    <xf numFmtId="0" fontId="32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4" fontId="0" fillId="0" borderId="10" xfId="0" applyNumberFormat="1" applyBorder="1" applyAlignment="1">
      <alignment horizontal="center"/>
    </xf>
    <xf numFmtId="4" fontId="0" fillId="0" borderId="23" xfId="0" applyNumberFormat="1" applyBorder="1" applyAlignment="1">
      <alignment horizontal="center"/>
    </xf>
    <xf numFmtId="4" fontId="0" fillId="0" borderId="36" xfId="0" applyNumberFormat="1" applyBorder="1" applyAlignment="1">
      <alignment horizontal="center"/>
    </xf>
    <xf numFmtId="4" fontId="0" fillId="0" borderId="37" xfId="0" applyNumberFormat="1" applyBorder="1" applyAlignment="1">
      <alignment horizontal="center"/>
    </xf>
    <xf numFmtId="0" fontId="0" fillId="0" borderId="23" xfId="0" applyBorder="1" applyAlignment="1">
      <alignment horizontal="center"/>
    </xf>
    <xf numFmtId="0" fontId="32" fillId="0" borderId="0" xfId="0" applyFont="1" applyAlignment="1">
      <alignment vertical="center"/>
    </xf>
    <xf numFmtId="0" fontId="25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32" fillId="0" borderId="0" xfId="0" applyFont="1" applyAlignment="1">
      <alignment horizontal="left" vertical="center" wrapText="1"/>
    </xf>
    <xf numFmtId="0" fontId="32" fillId="0" borderId="0" xfId="0" applyFont="1" applyAlignment="1">
      <alignment wrapText="1"/>
    </xf>
    <xf numFmtId="0" fontId="32" fillId="0" borderId="54" xfId="0" applyFont="1" applyBorder="1" applyAlignment="1">
      <alignment wrapText="1"/>
    </xf>
    <xf numFmtId="0" fontId="36" fillId="0" borderId="0" xfId="0" applyFont="1" applyAlignment="1">
      <alignment horizontal="left" vertical="center" wrapText="1"/>
    </xf>
    <xf numFmtId="0" fontId="36" fillId="0" borderId="0" xfId="0" applyFont="1" applyAlignment="1">
      <alignment horizontal="left" vertical="center"/>
    </xf>
    <xf numFmtId="0" fontId="0" fillId="0" borderId="0" xfId="0"/>
    <xf numFmtId="0" fontId="32" fillId="0" borderId="0" xfId="0" applyFont="1" applyAlignment="1">
      <alignment vertical="center" wrapText="1"/>
    </xf>
    <xf numFmtId="0" fontId="24" fillId="0" borderId="44" xfId="0" applyFont="1" applyBorder="1" applyAlignment="1">
      <alignment vertical="center"/>
    </xf>
    <xf numFmtId="166" fontId="24" fillId="0" borderId="0" xfId="0" applyNumberFormat="1" applyFont="1" applyBorder="1" applyAlignment="1">
      <alignment horizontal="left" vertical="center" wrapText="1"/>
    </xf>
    <xf numFmtId="0" fontId="0" fillId="0" borderId="0" xfId="0" applyBorder="1" applyAlignment="1">
      <alignment vertical="center"/>
    </xf>
    <xf numFmtId="4" fontId="0" fillId="0" borderId="0" xfId="0" applyNumberFormat="1" applyBorder="1" applyAlignment="1">
      <alignment vertical="center"/>
    </xf>
    <xf numFmtId="4" fontId="1" fillId="0" borderId="24" xfId="0" applyNumberFormat="1" applyFont="1" applyBorder="1" applyAlignment="1">
      <alignment horizontal="right"/>
    </xf>
    <xf numFmtId="4" fontId="0" fillId="0" borderId="0" xfId="0" applyNumberFormat="1" applyBorder="1" applyAlignment="1">
      <alignment horizontal="center" vertical="center"/>
    </xf>
    <xf numFmtId="2" fontId="28" fillId="0" borderId="0" xfId="0" applyNumberFormat="1" applyFont="1" applyBorder="1" applyAlignment="1">
      <alignment vertical="center"/>
    </xf>
    <xf numFmtId="2" fontId="1" fillId="0" borderId="0" xfId="0" applyNumberFormat="1" applyFont="1" applyBorder="1" applyAlignment="1">
      <alignment vertical="center"/>
    </xf>
    <xf numFmtId="2" fontId="29" fillId="0" borderId="0" xfId="0" applyNumberFormat="1" applyFont="1" applyBorder="1" applyAlignment="1">
      <alignment vertical="center"/>
    </xf>
  </cellXfs>
  <cellStyles count="42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C000000}"/>
    <cellStyle name="Good" xfId="29" xr:uid="{00000000-0005-0000-0000-00001D000000}"/>
    <cellStyle name="Heading 1" xfId="30" xr:uid="{00000000-0005-0000-0000-00001E000000}"/>
    <cellStyle name="Heading 2" xfId="31" xr:uid="{00000000-0005-0000-0000-00001F000000}"/>
    <cellStyle name="Heading 3" xfId="32" xr:uid="{00000000-0005-0000-0000-000020000000}"/>
    <cellStyle name="Heading 4" xfId="33" xr:uid="{00000000-0005-0000-0000-000021000000}"/>
    <cellStyle name="Input" xfId="34" xr:uid="{00000000-0005-0000-0000-000022000000}"/>
    <cellStyle name="Linked Cell" xfId="35" xr:uid="{00000000-0005-0000-0000-000023000000}"/>
    <cellStyle name="Neutral" xfId="36" xr:uid="{00000000-0005-0000-0000-000024000000}"/>
    <cellStyle name="Normal" xfId="0" builtinId="0"/>
    <cellStyle name="Note" xfId="37" xr:uid="{00000000-0005-0000-0000-000026000000}"/>
    <cellStyle name="Output" xfId="38" xr:uid="{00000000-0005-0000-0000-000027000000}"/>
    <cellStyle name="Title" xfId="39" xr:uid="{00000000-0005-0000-0000-000028000000}"/>
    <cellStyle name="Total" xfId="40" xr:uid="{00000000-0005-0000-0000-000029000000}"/>
    <cellStyle name="Warning Text" xfId="41" xr:uid="{00000000-0005-0000-0000-00002A000000}"/>
  </cellStyles>
  <dxfs count="0"/>
  <tableStyles count="0" defaultTableStyle="Table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E193"/>
  <sheetViews>
    <sheetView tabSelected="1" topLeftCell="A57" zoomScale="72" zoomScaleNormal="72" zoomScaleSheetLayoutView="100" workbookViewId="0">
      <pane ySplit="1344" topLeftCell="A29" activePane="bottomLeft"/>
      <selection activeCell="A61" sqref="A61:XFD61"/>
      <selection pane="bottomLeft" activeCell="W42" sqref="W42"/>
    </sheetView>
  </sheetViews>
  <sheetFormatPr defaultColWidth="8.88671875" defaultRowHeight="13.2" x14ac:dyDescent="0.25"/>
  <cols>
    <col min="1" max="1" width="12" style="234" customWidth="1"/>
    <col min="2" max="2" width="46.33203125" style="92" customWidth="1"/>
    <col min="3" max="3" width="8.88671875" style="2" customWidth="1"/>
    <col min="4" max="4" width="8.33203125" style="17" customWidth="1"/>
    <col min="5" max="5" width="9.6640625" style="17" customWidth="1"/>
    <col min="6" max="6" width="10.88671875" style="17" customWidth="1"/>
    <col min="7" max="7" width="9.5546875" style="17" customWidth="1"/>
    <col min="8" max="8" width="9" style="17" customWidth="1"/>
    <col min="9" max="9" width="7.44140625" style="18" customWidth="1"/>
    <col min="10" max="10" width="6.44140625" style="19" customWidth="1"/>
    <col min="11" max="11" width="9" style="20" customWidth="1"/>
    <col min="12" max="13" width="7.44140625" style="17" customWidth="1"/>
    <col min="14" max="14" width="7.33203125" style="17" customWidth="1"/>
    <col min="15" max="15" width="9.5546875" style="17" customWidth="1"/>
    <col min="16" max="16" width="8.109375" style="17" customWidth="1"/>
    <col min="17" max="17" width="6.44140625" style="17" customWidth="1"/>
    <col min="18" max="18" width="10.44140625" style="17" customWidth="1"/>
    <col min="19" max="19" width="5.6640625" style="17" bestFit="1" customWidth="1"/>
    <col min="20" max="20" width="10" style="181" customWidth="1"/>
    <col min="21" max="21" width="8.33203125" style="67" customWidth="1"/>
    <col min="22" max="22" width="22.6640625" style="58" customWidth="1"/>
    <col min="23" max="23" width="6.109375" style="5" customWidth="1"/>
    <col min="24" max="24" width="9.44140625" style="192" customWidth="1"/>
    <col min="25" max="25" width="12.33203125" style="5" customWidth="1"/>
    <col min="26" max="26" width="7.6640625" style="5" customWidth="1"/>
    <col min="27" max="27" width="12.88671875" style="2" customWidth="1"/>
    <col min="28" max="28" width="17.6640625" style="5" customWidth="1"/>
    <col min="29" max="29" width="9.109375" style="5" customWidth="1"/>
    <col min="30" max="16384" width="8.88671875" style="2"/>
  </cols>
  <sheetData>
    <row r="1" spans="1:31" ht="20.100000000000001" customHeight="1" x14ac:dyDescent="0.3">
      <c r="A1" s="232" t="s">
        <v>0</v>
      </c>
      <c r="B1" s="225"/>
      <c r="C1" s="25"/>
      <c r="D1" s="71"/>
      <c r="E1" s="71"/>
      <c r="F1" s="71"/>
      <c r="G1" s="71"/>
      <c r="H1" s="71"/>
      <c r="I1" s="26"/>
      <c r="J1" s="27"/>
      <c r="K1" s="28"/>
      <c r="L1" s="71"/>
      <c r="M1" s="71"/>
      <c r="N1" s="71"/>
      <c r="O1" s="71"/>
      <c r="P1" s="71"/>
      <c r="Q1" s="71"/>
      <c r="R1" s="71"/>
      <c r="S1" s="71"/>
      <c r="T1" s="213"/>
      <c r="U1" s="246"/>
    </row>
    <row r="2" spans="1:31" ht="15.6" x14ac:dyDescent="0.3">
      <c r="A2" s="233"/>
      <c r="B2" s="226"/>
      <c r="G2" s="288" t="s">
        <v>1</v>
      </c>
      <c r="H2" s="289"/>
      <c r="I2" s="290"/>
      <c r="K2" s="291" t="s">
        <v>2</v>
      </c>
      <c r="L2" s="292"/>
      <c r="M2" s="292"/>
      <c r="N2" s="292"/>
      <c r="O2" s="292"/>
      <c r="P2" s="292"/>
      <c r="Q2" s="292"/>
      <c r="R2" s="292"/>
      <c r="S2" s="246"/>
      <c r="T2" s="214"/>
      <c r="U2" s="246"/>
      <c r="V2" s="59"/>
      <c r="W2" s="7"/>
      <c r="X2" s="193"/>
      <c r="Y2" s="7"/>
    </row>
    <row r="3" spans="1:31" x14ac:dyDescent="0.25">
      <c r="H3" s="17" t="s">
        <v>3</v>
      </c>
      <c r="I3" s="18" t="s">
        <v>4</v>
      </c>
      <c r="J3" s="19" t="s">
        <v>5</v>
      </c>
      <c r="K3" s="20" t="s">
        <v>6</v>
      </c>
      <c r="L3" s="17" t="s">
        <v>7</v>
      </c>
      <c r="N3" s="17" t="s">
        <v>8</v>
      </c>
      <c r="R3" s="17" t="s">
        <v>9</v>
      </c>
      <c r="T3" s="46"/>
      <c r="U3" s="246"/>
      <c r="V3" s="53"/>
      <c r="Y3" s="2"/>
      <c r="Z3" s="2"/>
      <c r="AB3" s="2"/>
      <c r="AC3" s="2"/>
    </row>
    <row r="4" spans="1:31" s="9" customFormat="1" ht="13.8" thickBot="1" x14ac:dyDescent="0.3">
      <c r="A4" s="235" t="s">
        <v>10</v>
      </c>
      <c r="B4" s="227" t="s">
        <v>11</v>
      </c>
      <c r="C4" s="33" t="s">
        <v>12</v>
      </c>
      <c r="D4" s="35" t="s">
        <v>13</v>
      </c>
      <c r="E4" s="35" t="s">
        <v>14</v>
      </c>
      <c r="F4" s="35" t="s">
        <v>15</v>
      </c>
      <c r="G4" s="34" t="s">
        <v>16</v>
      </c>
      <c r="H4" s="32" t="s">
        <v>17</v>
      </c>
      <c r="I4" s="36" t="s">
        <v>18</v>
      </c>
      <c r="J4" s="37" t="s">
        <v>19</v>
      </c>
      <c r="K4" s="38" t="s">
        <v>20</v>
      </c>
      <c r="L4" s="45" t="s">
        <v>21</v>
      </c>
      <c r="M4" s="89" t="s">
        <v>22</v>
      </c>
      <c r="N4" s="34" t="s">
        <v>23</v>
      </c>
      <c r="O4" s="34" t="s">
        <v>24</v>
      </c>
      <c r="P4" s="34" t="s">
        <v>25</v>
      </c>
      <c r="Q4" s="34" t="s">
        <v>26</v>
      </c>
      <c r="R4" s="34" t="s">
        <v>27</v>
      </c>
      <c r="S4" s="34" t="s">
        <v>28</v>
      </c>
      <c r="T4" s="215" t="s">
        <v>29</v>
      </c>
      <c r="U4" s="246"/>
      <c r="V4" s="53"/>
      <c r="W4" s="39"/>
      <c r="X4" s="194"/>
      <c r="Y4" s="40"/>
      <c r="Z4" s="40"/>
      <c r="AA4" s="40"/>
      <c r="AB4" s="40"/>
      <c r="AC4" s="2"/>
      <c r="AD4" s="2"/>
      <c r="AE4" s="2"/>
    </row>
    <row r="5" spans="1:31" s="14" customFormat="1" ht="14.1" customHeight="1" x14ac:dyDescent="0.25">
      <c r="A5" s="265"/>
      <c r="B5" s="264"/>
      <c r="C5" s="2"/>
      <c r="D5" s="2"/>
      <c r="E5" s="2"/>
      <c r="F5" s="84"/>
      <c r="G5" s="49"/>
      <c r="H5" s="80"/>
      <c r="I5" s="50"/>
      <c r="J5" s="41"/>
      <c r="K5" s="42"/>
      <c r="L5" s="49"/>
      <c r="M5" s="49"/>
      <c r="N5" s="49"/>
      <c r="O5" s="49"/>
      <c r="P5" s="49"/>
      <c r="Q5" s="49"/>
      <c r="R5" s="49"/>
      <c r="S5" s="49"/>
      <c r="T5" s="216"/>
      <c r="U5" s="246"/>
      <c r="V5" s="53"/>
      <c r="W5" s="39"/>
      <c r="X5" s="194"/>
      <c r="Y5" s="40"/>
      <c r="Z5" s="40"/>
      <c r="AA5" s="40"/>
      <c r="AB5" s="40"/>
      <c r="AC5" s="2"/>
      <c r="AD5" s="2"/>
      <c r="AE5" s="2"/>
    </row>
    <row r="6" spans="1:31" s="8" customFormat="1" ht="14.1" customHeight="1" x14ac:dyDescent="0.25">
      <c r="A6" s="248"/>
      <c r="B6" s="249"/>
      <c r="C6" s="2"/>
      <c r="D6" s="17"/>
      <c r="E6" s="17"/>
      <c r="F6" s="23"/>
      <c r="G6" s="51"/>
      <c r="H6" s="51"/>
      <c r="I6" s="243"/>
      <c r="J6" s="244"/>
      <c r="K6" s="245"/>
      <c r="L6" s="51"/>
      <c r="M6" s="51"/>
      <c r="N6" s="51"/>
      <c r="O6" s="51"/>
      <c r="P6" s="51"/>
      <c r="Q6" s="51"/>
      <c r="R6" s="22"/>
      <c r="S6" s="95"/>
      <c r="T6" s="46"/>
      <c r="U6" s="246"/>
      <c r="V6" s="53"/>
      <c r="W6" s="39"/>
      <c r="X6" s="192"/>
      <c r="Y6" s="40"/>
      <c r="Z6" s="2"/>
      <c r="AA6" s="40"/>
      <c r="AB6" s="2"/>
      <c r="AC6" s="2"/>
      <c r="AD6" s="2"/>
      <c r="AE6" s="2"/>
    </row>
    <row r="7" spans="1:31" s="280" customFormat="1" ht="14.1" customHeight="1" x14ac:dyDescent="0.25">
      <c r="A7" s="266">
        <v>44652</v>
      </c>
      <c r="B7" s="267" t="s">
        <v>30</v>
      </c>
      <c r="C7" s="268"/>
      <c r="D7" s="269"/>
      <c r="E7" s="269"/>
      <c r="F7" s="85">
        <v>10531.98</v>
      </c>
      <c r="G7" s="270"/>
      <c r="H7" s="270"/>
      <c r="I7" s="271"/>
      <c r="J7" s="272"/>
      <c r="K7" s="273"/>
      <c r="L7" s="270"/>
      <c r="M7" s="270"/>
      <c r="N7" s="270"/>
      <c r="O7" s="270"/>
      <c r="P7" s="270"/>
      <c r="Q7" s="270"/>
      <c r="R7" s="274"/>
      <c r="S7" s="95"/>
      <c r="T7" s="74"/>
      <c r="U7" s="275"/>
      <c r="V7" s="276"/>
      <c r="W7" s="277"/>
      <c r="X7" s="278"/>
      <c r="Y7" s="279"/>
      <c r="Z7" s="268"/>
      <c r="AA7" s="279"/>
      <c r="AB7" s="268"/>
      <c r="AC7" s="268"/>
      <c r="AD7" s="268"/>
      <c r="AE7" s="268"/>
    </row>
    <row r="8" spans="1:31" s="8" customFormat="1" ht="14.1" customHeight="1" x14ac:dyDescent="0.25">
      <c r="A8" s="242">
        <v>44655</v>
      </c>
      <c r="B8" s="249" t="s">
        <v>31</v>
      </c>
      <c r="C8" s="2"/>
      <c r="D8" s="17"/>
      <c r="E8" s="17">
        <v>96</v>
      </c>
      <c r="F8" s="23">
        <f>F7+D8-E8</f>
        <v>10435.98</v>
      </c>
      <c r="G8" s="51"/>
      <c r="H8" s="51"/>
      <c r="I8" s="243"/>
      <c r="J8" s="244"/>
      <c r="K8" s="245"/>
      <c r="L8" s="51"/>
      <c r="M8" s="51"/>
      <c r="N8" s="51"/>
      <c r="O8" s="51"/>
      <c r="P8" s="51"/>
      <c r="Q8" s="51">
        <v>96</v>
      </c>
      <c r="S8" s="95"/>
      <c r="T8" s="46">
        <f t="shared" ref="T8:T50" si="0">SUM(G8:S8)</f>
        <v>96</v>
      </c>
      <c r="U8" s="246"/>
      <c r="V8" s="53"/>
      <c r="W8" s="39"/>
      <c r="X8" s="53"/>
      <c r="Y8" s="40"/>
      <c r="Z8" s="2"/>
      <c r="AA8" s="40"/>
      <c r="AB8" s="2"/>
      <c r="AC8" s="2"/>
      <c r="AD8" s="2"/>
      <c r="AE8" s="2"/>
    </row>
    <row r="9" spans="1:31" s="52" customFormat="1" ht="14.1" customHeight="1" x14ac:dyDescent="0.25">
      <c r="A9" s="247">
        <v>44672</v>
      </c>
      <c r="B9" s="10" t="s">
        <v>32</v>
      </c>
      <c r="C9" s="4"/>
      <c r="D9" s="23"/>
      <c r="E9" s="23">
        <v>170</v>
      </c>
      <c r="F9" s="23">
        <f t="shared" ref="F9:F50" si="1">F8+D9-E9</f>
        <v>10265.98</v>
      </c>
      <c r="G9" s="23"/>
      <c r="H9" s="23"/>
      <c r="I9" s="181"/>
      <c r="J9" s="182"/>
      <c r="K9" s="245"/>
      <c r="L9" s="51"/>
      <c r="M9" s="51"/>
      <c r="N9" s="51"/>
      <c r="O9" s="23">
        <f>E9</f>
        <v>170</v>
      </c>
      <c r="P9" s="51"/>
      <c r="Q9" s="51"/>
      <c r="R9" s="51"/>
      <c r="S9" s="95"/>
      <c r="T9" s="46">
        <f t="shared" si="0"/>
        <v>170</v>
      </c>
      <c r="U9" s="183"/>
      <c r="V9" s="98"/>
      <c r="W9" s="83"/>
      <c r="X9" s="53"/>
      <c r="Y9" s="83"/>
      <c r="Z9" s="83"/>
      <c r="AA9" s="4"/>
      <c r="AB9" s="83"/>
      <c r="AC9" s="83"/>
      <c r="AD9" s="4"/>
      <c r="AE9" s="4"/>
    </row>
    <row r="10" spans="1:31" s="52" customFormat="1" ht="14.1" customHeight="1" x14ac:dyDescent="0.25">
      <c r="A10" s="30">
        <v>44672</v>
      </c>
      <c r="B10" s="10" t="s">
        <v>33</v>
      </c>
      <c r="C10" s="4" t="s">
        <v>34</v>
      </c>
      <c r="D10" s="23">
        <v>2887.5</v>
      </c>
      <c r="E10" s="23"/>
      <c r="F10" s="23">
        <f t="shared" si="1"/>
        <v>13153.48</v>
      </c>
      <c r="G10" s="82">
        <f>-D10</f>
        <v>-2887.5</v>
      </c>
      <c r="H10" s="88"/>
      <c r="I10" s="82"/>
      <c r="J10" s="185"/>
      <c r="K10" s="47"/>
      <c r="L10" s="23"/>
      <c r="M10" s="23"/>
      <c r="N10" s="23"/>
      <c r="P10" s="23"/>
      <c r="Q10" s="23"/>
      <c r="R10" s="23"/>
      <c r="S10" s="23"/>
      <c r="T10" s="46">
        <f t="shared" si="0"/>
        <v>-2887.5</v>
      </c>
      <c r="U10" s="183"/>
      <c r="V10" s="4"/>
      <c r="W10" s="187"/>
      <c r="X10" s="53"/>
      <c r="Y10" s="188"/>
      <c r="Z10" s="4"/>
      <c r="AA10" s="188"/>
      <c r="AB10" s="4"/>
      <c r="AC10" s="4"/>
      <c r="AD10" s="4"/>
      <c r="AE10" s="4"/>
    </row>
    <row r="11" spans="1:31" s="52" customFormat="1" ht="14.1" customHeight="1" x14ac:dyDescent="0.25">
      <c r="A11" s="189">
        <v>44672</v>
      </c>
      <c r="B11" s="10" t="s">
        <v>35</v>
      </c>
      <c r="C11" s="4"/>
      <c r="D11" s="23"/>
      <c r="E11" s="23">
        <v>30</v>
      </c>
      <c r="F11" s="23">
        <f t="shared" si="1"/>
        <v>13123.48</v>
      </c>
      <c r="G11" s="82"/>
      <c r="H11" s="4"/>
      <c r="I11" s="184"/>
      <c r="J11" s="185"/>
      <c r="K11" s="186"/>
      <c r="L11" s="82"/>
      <c r="M11" s="82"/>
      <c r="N11" s="82"/>
      <c r="O11" s="82">
        <v>30</v>
      </c>
      <c r="P11" s="82"/>
      <c r="Q11" s="82"/>
      <c r="R11" s="82"/>
      <c r="S11" s="82"/>
      <c r="T11" s="46">
        <v>30</v>
      </c>
      <c r="U11" s="183"/>
      <c r="V11" s="53"/>
      <c r="W11" s="187"/>
      <c r="X11" s="53"/>
      <c r="Y11" s="188"/>
      <c r="Z11" s="4"/>
      <c r="AA11" s="188"/>
      <c r="AB11" s="4"/>
      <c r="AC11" s="4"/>
      <c r="AD11" s="4"/>
      <c r="AE11" s="4"/>
    </row>
    <row r="12" spans="1:31" s="52" customFormat="1" ht="14.1" customHeight="1" x14ac:dyDescent="0.25">
      <c r="A12" s="30">
        <v>44684</v>
      </c>
      <c r="B12" s="10" t="s">
        <v>36</v>
      </c>
      <c r="C12" s="4" t="s">
        <v>37</v>
      </c>
      <c r="D12" s="23"/>
      <c r="E12" s="23">
        <v>14.49</v>
      </c>
      <c r="F12" s="23">
        <f t="shared" si="1"/>
        <v>13108.99</v>
      </c>
      <c r="G12" s="82"/>
      <c r="H12" s="82"/>
      <c r="I12" s="184"/>
      <c r="J12" s="185"/>
      <c r="K12" s="186"/>
      <c r="L12" s="82"/>
      <c r="M12" s="82"/>
      <c r="N12" s="82"/>
      <c r="O12" s="82"/>
      <c r="P12" s="82"/>
      <c r="Q12" s="82"/>
      <c r="R12" s="82">
        <f>E12-S12</f>
        <v>13.8</v>
      </c>
      <c r="S12" s="198">
        <f>0.23+0.46</f>
        <v>0.69000000000000006</v>
      </c>
      <c r="T12" s="46">
        <f t="shared" si="0"/>
        <v>14.49</v>
      </c>
      <c r="U12" s="183"/>
      <c r="V12" s="4"/>
      <c r="W12" s="4"/>
      <c r="X12" s="53"/>
      <c r="Y12" s="188"/>
      <c r="Z12" s="4"/>
      <c r="AA12" s="188"/>
      <c r="AB12" s="4"/>
      <c r="AC12" s="4"/>
      <c r="AD12" s="4"/>
      <c r="AE12" s="4"/>
    </row>
    <row r="13" spans="1:31" s="52" customFormat="1" ht="14.1" customHeight="1" x14ac:dyDescent="0.25">
      <c r="A13" s="247">
        <v>44700</v>
      </c>
      <c r="B13" s="48" t="s">
        <v>38</v>
      </c>
      <c r="C13" s="4"/>
      <c r="D13" s="23"/>
      <c r="E13" s="23">
        <v>150</v>
      </c>
      <c r="F13" s="23">
        <f t="shared" si="1"/>
        <v>12958.99</v>
      </c>
      <c r="G13" s="82"/>
      <c r="H13" s="82"/>
      <c r="I13" s="184"/>
      <c r="J13" s="185"/>
      <c r="K13" s="186"/>
      <c r="L13" s="82"/>
      <c r="M13" s="82"/>
      <c r="N13" s="82"/>
      <c r="O13" s="82"/>
      <c r="P13" s="82"/>
      <c r="Q13" s="82"/>
      <c r="R13" s="82">
        <f>E13</f>
        <v>150</v>
      </c>
      <c r="S13" s="263"/>
      <c r="T13" s="46">
        <f t="shared" si="0"/>
        <v>150</v>
      </c>
      <c r="U13" s="183"/>
      <c r="V13" s="4"/>
      <c r="W13" s="4"/>
      <c r="X13" s="53"/>
      <c r="Y13" s="188"/>
      <c r="Z13" s="4"/>
      <c r="AA13" s="188"/>
      <c r="AB13" s="4"/>
      <c r="AC13" s="4"/>
      <c r="AD13" s="4"/>
      <c r="AE13" s="4"/>
    </row>
    <row r="14" spans="1:31" s="52" customFormat="1" ht="14.1" customHeight="1" x14ac:dyDescent="0.25">
      <c r="A14" s="247">
        <v>44701</v>
      </c>
      <c r="B14" s="48" t="s">
        <v>39</v>
      </c>
      <c r="C14" s="4" t="s">
        <v>34</v>
      </c>
      <c r="D14" s="23">
        <v>1950</v>
      </c>
      <c r="E14" s="23"/>
      <c r="F14" s="23">
        <f t="shared" si="1"/>
        <v>14908.99</v>
      </c>
      <c r="G14" s="82"/>
      <c r="H14" s="82">
        <v>-1950</v>
      </c>
      <c r="I14" s="184"/>
      <c r="J14" s="185"/>
      <c r="K14" s="186"/>
      <c r="L14" s="82"/>
      <c r="M14" s="82"/>
      <c r="N14" s="82"/>
      <c r="O14" s="82"/>
      <c r="P14" s="82"/>
      <c r="Q14" s="82"/>
      <c r="R14" s="82"/>
      <c r="S14" s="82"/>
      <c r="T14" s="46">
        <v>-1950</v>
      </c>
      <c r="U14" s="183"/>
      <c r="V14" s="4"/>
      <c r="W14" s="4"/>
      <c r="X14" s="53"/>
      <c r="Y14" s="188"/>
      <c r="Z14" s="4"/>
      <c r="AA14" s="188"/>
      <c r="AB14" s="4"/>
      <c r="AC14" s="4"/>
      <c r="AD14" s="4"/>
      <c r="AE14" s="4"/>
    </row>
    <row r="15" spans="1:31" s="52" customFormat="1" ht="27.9" customHeight="1" x14ac:dyDescent="0.25">
      <c r="A15" s="247">
        <v>44725</v>
      </c>
      <c r="B15" s="10" t="s">
        <v>40</v>
      </c>
      <c r="C15" s="4"/>
      <c r="D15" s="23"/>
      <c r="E15" s="23">
        <v>349.38</v>
      </c>
      <c r="F15" s="23">
        <f t="shared" si="1"/>
        <v>14559.61</v>
      </c>
      <c r="G15" s="82"/>
      <c r="H15" s="82"/>
      <c r="I15" s="184"/>
      <c r="J15" s="185"/>
      <c r="K15" s="186"/>
      <c r="L15" s="82"/>
      <c r="M15" s="82"/>
      <c r="N15" s="82"/>
      <c r="O15" s="82"/>
      <c r="P15" s="82">
        <f>E15</f>
        <v>349.38</v>
      </c>
      <c r="Q15" s="82"/>
      <c r="S15" s="82"/>
      <c r="T15" s="46">
        <f t="shared" si="0"/>
        <v>349.38</v>
      </c>
      <c r="U15" s="183"/>
      <c r="V15" s="187"/>
      <c r="W15" s="4"/>
      <c r="X15" s="53"/>
      <c r="Y15" s="188"/>
      <c r="Z15" s="4"/>
      <c r="AA15" s="188"/>
      <c r="AB15" s="4"/>
      <c r="AC15" s="4"/>
      <c r="AD15" s="4"/>
      <c r="AE15" s="4"/>
    </row>
    <row r="16" spans="1:31" s="52" customFormat="1" ht="14.1" customHeight="1" x14ac:dyDescent="0.25">
      <c r="A16" s="30">
        <v>44708</v>
      </c>
      <c r="B16" s="10" t="s">
        <v>41</v>
      </c>
      <c r="C16" s="4" t="s">
        <v>37</v>
      </c>
      <c r="D16" s="23"/>
      <c r="E16" s="23">
        <v>13.45</v>
      </c>
      <c r="F16" s="23">
        <f t="shared" si="1"/>
        <v>14546.16</v>
      </c>
      <c r="G16" s="82"/>
      <c r="H16" s="82"/>
      <c r="I16" s="184"/>
      <c r="J16" s="185"/>
      <c r="K16" s="186"/>
      <c r="L16" s="82"/>
      <c r="M16" s="82"/>
      <c r="N16" s="82"/>
      <c r="O16" s="82"/>
      <c r="Q16" s="82"/>
      <c r="R16" s="82">
        <f>E16-S16</f>
        <v>12.809999999999999</v>
      </c>
      <c r="S16" s="82">
        <f>0.22+0.42</f>
        <v>0.64</v>
      </c>
      <c r="T16" s="46">
        <f>SUM(G16:S16)</f>
        <v>13.45</v>
      </c>
      <c r="U16" s="183"/>
      <c r="V16" s="4"/>
      <c r="W16" s="187"/>
      <c r="X16" s="53"/>
      <c r="Y16" s="188"/>
      <c r="Z16" s="4"/>
      <c r="AA16" s="188"/>
      <c r="AB16" s="4"/>
      <c r="AC16" s="4"/>
      <c r="AD16" s="4"/>
      <c r="AE16" s="4"/>
    </row>
    <row r="17" spans="1:31" s="52" customFormat="1" ht="14.1" customHeight="1" x14ac:dyDescent="0.25">
      <c r="A17" s="247">
        <v>44728</v>
      </c>
      <c r="B17" s="48" t="s">
        <v>42</v>
      </c>
      <c r="C17" s="4"/>
      <c r="D17" s="23"/>
      <c r="E17" s="23">
        <v>555.79999999999995</v>
      </c>
      <c r="F17" s="23">
        <f t="shared" si="1"/>
        <v>13990.36</v>
      </c>
      <c r="G17" s="82"/>
      <c r="H17" s="82"/>
      <c r="I17" s="184"/>
      <c r="J17" s="185"/>
      <c r="K17" s="186">
        <v>555.79999999999995</v>
      </c>
      <c r="L17" s="82"/>
      <c r="M17" s="82"/>
      <c r="N17" s="82"/>
      <c r="O17" s="82"/>
      <c r="P17" s="82"/>
      <c r="Q17" s="82"/>
      <c r="R17" s="82"/>
      <c r="T17" s="46">
        <f t="shared" si="0"/>
        <v>555.79999999999995</v>
      </c>
      <c r="U17" s="183"/>
      <c r="V17" s="53"/>
      <c r="W17" s="83"/>
      <c r="X17" s="53"/>
      <c r="Y17" s="4"/>
      <c r="Z17" s="4"/>
      <c r="AA17" s="4"/>
      <c r="AB17" s="4"/>
      <c r="AC17" s="4"/>
      <c r="AD17" s="4"/>
      <c r="AE17" s="4"/>
    </row>
    <row r="18" spans="1:31" s="52" customFormat="1" ht="14.1" customHeight="1" x14ac:dyDescent="0.25">
      <c r="A18" s="247">
        <v>44728</v>
      </c>
      <c r="B18" s="48" t="s">
        <v>43</v>
      </c>
      <c r="C18" s="4"/>
      <c r="D18" s="23"/>
      <c r="E18" s="23">
        <v>138.80000000000001</v>
      </c>
      <c r="F18" s="23">
        <f t="shared" si="1"/>
        <v>13851.560000000001</v>
      </c>
      <c r="G18" s="82"/>
      <c r="H18" s="82"/>
      <c r="I18" s="184"/>
      <c r="J18" s="185"/>
      <c r="K18" s="186">
        <v>138.80000000000001</v>
      </c>
      <c r="L18" s="82"/>
      <c r="M18" s="82"/>
      <c r="N18" s="82"/>
      <c r="O18" s="82"/>
      <c r="P18" s="82"/>
      <c r="Q18" s="82"/>
      <c r="R18" s="82"/>
      <c r="S18" s="82"/>
      <c r="T18" s="46">
        <f t="shared" si="0"/>
        <v>138.80000000000001</v>
      </c>
      <c r="U18" s="183"/>
      <c r="V18" s="53"/>
      <c r="W18" s="83"/>
      <c r="X18" s="53"/>
      <c r="Y18" s="4"/>
      <c r="Z18" s="4"/>
      <c r="AA18" s="4"/>
      <c r="AB18" s="4"/>
      <c r="AC18" s="4"/>
      <c r="AD18" s="4"/>
      <c r="AE18" s="4"/>
    </row>
    <row r="19" spans="1:31" s="4" customFormat="1" ht="14.1" customHeight="1" x14ac:dyDescent="0.25">
      <c r="A19" s="247">
        <v>44739</v>
      </c>
      <c r="B19" s="10" t="s">
        <v>44</v>
      </c>
      <c r="C19" s="4" t="s">
        <v>37</v>
      </c>
      <c r="D19" s="23"/>
      <c r="E19" s="23">
        <v>13.62</v>
      </c>
      <c r="F19" s="23">
        <f t="shared" si="1"/>
        <v>13837.94</v>
      </c>
      <c r="G19" s="82"/>
      <c r="H19" s="82"/>
      <c r="I19" s="184"/>
      <c r="J19" s="185"/>
      <c r="K19" s="82"/>
      <c r="L19" s="82"/>
      <c r="M19" s="82"/>
      <c r="N19" s="82"/>
      <c r="P19" s="82"/>
      <c r="Q19" s="82"/>
      <c r="R19" s="88">
        <f>E19-S19</f>
        <v>12.969999999999999</v>
      </c>
      <c r="S19" s="82">
        <f>0.23+0.42</f>
        <v>0.65</v>
      </c>
      <c r="T19" s="46">
        <f t="shared" ref="T19" si="2">SUM(G19:S19)</f>
        <v>13.62</v>
      </c>
      <c r="U19" s="183"/>
      <c r="W19" s="187"/>
      <c r="X19" s="53"/>
      <c r="Y19" s="188"/>
      <c r="AA19" s="188"/>
    </row>
    <row r="20" spans="1:31" s="52" customFormat="1" ht="14.1" customHeight="1" x14ac:dyDescent="0.25">
      <c r="A20" s="247">
        <v>44763</v>
      </c>
      <c r="B20" s="48" t="s">
        <v>45</v>
      </c>
      <c r="C20" s="4"/>
      <c r="D20" s="23"/>
      <c r="E20" s="23">
        <v>120</v>
      </c>
      <c r="F20" s="23">
        <f t="shared" si="1"/>
        <v>13717.94</v>
      </c>
      <c r="G20" s="82"/>
      <c r="H20" s="82"/>
      <c r="I20" s="184"/>
      <c r="J20" s="185"/>
      <c r="K20" s="186"/>
      <c r="L20" s="82"/>
      <c r="M20" s="82"/>
      <c r="N20" s="82"/>
      <c r="O20" s="82"/>
      <c r="P20" s="82"/>
      <c r="Q20" s="82">
        <v>120</v>
      </c>
      <c r="R20" s="82"/>
      <c r="S20" s="82"/>
      <c r="T20" s="46">
        <f t="shared" si="0"/>
        <v>120</v>
      </c>
      <c r="U20" s="219"/>
      <c r="V20" s="4"/>
      <c r="W20" s="4"/>
      <c r="X20" s="53"/>
      <c r="Y20" s="188"/>
      <c r="Z20" s="4"/>
      <c r="AA20" s="188"/>
      <c r="AB20" s="4"/>
      <c r="AC20" s="4"/>
      <c r="AD20" s="4"/>
      <c r="AE20" s="4"/>
    </row>
    <row r="21" spans="1:31" s="4" customFormat="1" ht="14.1" customHeight="1" x14ac:dyDescent="0.25">
      <c r="A21" s="191">
        <v>44767</v>
      </c>
      <c r="B21" s="10" t="s">
        <v>46</v>
      </c>
      <c r="C21" s="4" t="s">
        <v>37</v>
      </c>
      <c r="D21" s="23"/>
      <c r="E21" s="23">
        <v>12.99</v>
      </c>
      <c r="F21" s="23">
        <f t="shared" si="1"/>
        <v>13704.95</v>
      </c>
      <c r="G21" s="82"/>
      <c r="H21" s="82"/>
      <c r="I21" s="184"/>
      <c r="J21" s="185"/>
      <c r="K21" s="186"/>
      <c r="L21" s="82"/>
      <c r="M21" s="82"/>
      <c r="N21" s="82"/>
      <c r="O21" s="82"/>
      <c r="P21" s="82"/>
      <c r="Q21" s="82"/>
      <c r="R21" s="82">
        <f>E21-S21</f>
        <v>12.370000000000001</v>
      </c>
      <c r="S21" s="82">
        <f>0.22+0.4</f>
        <v>0.62</v>
      </c>
      <c r="T21" s="46">
        <f t="shared" si="0"/>
        <v>12.99</v>
      </c>
      <c r="U21" s="183"/>
      <c r="X21" s="53"/>
      <c r="Y21" s="188"/>
      <c r="AA21" s="188"/>
    </row>
    <row r="22" spans="1:31" s="4" customFormat="1" ht="14.1" customHeight="1" x14ac:dyDescent="0.25">
      <c r="A22" s="30">
        <v>44799</v>
      </c>
      <c r="B22" s="10" t="s">
        <v>47</v>
      </c>
      <c r="C22" s="4" t="s">
        <v>37</v>
      </c>
      <c r="D22" s="23"/>
      <c r="E22" s="23">
        <v>13.28</v>
      </c>
      <c r="F22" s="23">
        <f t="shared" si="1"/>
        <v>13691.67</v>
      </c>
      <c r="G22" s="23"/>
      <c r="H22" s="82"/>
      <c r="I22" s="184"/>
      <c r="J22" s="185"/>
      <c r="K22" s="186"/>
      <c r="L22" s="82"/>
      <c r="M22" s="23"/>
      <c r="N22" s="82"/>
      <c r="O22" s="82"/>
      <c r="P22" s="82"/>
      <c r="Q22" s="82"/>
      <c r="R22" s="82">
        <f>E22-S22</f>
        <v>12.649999999999999</v>
      </c>
      <c r="S22" s="82">
        <f>0.23+0.4</f>
        <v>0.63</v>
      </c>
      <c r="T22" s="46">
        <f t="shared" si="0"/>
        <v>13.28</v>
      </c>
      <c r="U22" s="183"/>
      <c r="V22" s="53"/>
      <c r="W22" s="83"/>
      <c r="X22" s="53"/>
      <c r="Y22" s="23"/>
    </row>
    <row r="23" spans="1:31" s="4" customFormat="1" ht="14.1" customHeight="1" x14ac:dyDescent="0.25">
      <c r="A23" s="247">
        <v>44812</v>
      </c>
      <c r="B23" s="10" t="s">
        <v>48</v>
      </c>
      <c r="C23" s="4" t="s">
        <v>34</v>
      </c>
      <c r="D23" s="23">
        <v>314</v>
      </c>
      <c r="E23" s="23"/>
      <c r="F23" s="23">
        <f t="shared" si="1"/>
        <v>14005.67</v>
      </c>
      <c r="G23" s="23"/>
      <c r="H23" s="82">
        <v>-314</v>
      </c>
      <c r="I23" s="184"/>
      <c r="J23" s="185"/>
      <c r="K23" s="186"/>
      <c r="L23" s="82"/>
      <c r="M23" s="23"/>
      <c r="N23" s="82"/>
      <c r="O23" s="82"/>
      <c r="P23" s="82"/>
      <c r="Q23" s="82"/>
      <c r="R23" s="82"/>
      <c r="S23" s="82"/>
      <c r="T23" s="46">
        <v>-314</v>
      </c>
      <c r="U23" s="183"/>
      <c r="V23" s="53"/>
      <c r="W23" s="83"/>
      <c r="X23" s="53"/>
      <c r="Y23" s="23"/>
    </row>
    <row r="24" spans="1:31" s="52" customFormat="1" ht="14.1" customHeight="1" x14ac:dyDescent="0.25">
      <c r="A24" s="190">
        <v>44816</v>
      </c>
      <c r="B24" s="10" t="s">
        <v>49</v>
      </c>
      <c r="C24" s="4" t="s">
        <v>34</v>
      </c>
      <c r="D24" s="23">
        <v>169.44</v>
      </c>
      <c r="E24" s="23"/>
      <c r="F24" s="23">
        <f t="shared" si="1"/>
        <v>14175.11</v>
      </c>
      <c r="G24" s="82"/>
      <c r="H24" s="82">
        <f>-D24</f>
        <v>-169.44</v>
      </c>
      <c r="I24" s="184"/>
      <c r="J24" s="185"/>
      <c r="K24" s="186"/>
      <c r="L24" s="82"/>
      <c r="M24" s="82"/>
      <c r="N24" s="82"/>
      <c r="O24" s="82"/>
      <c r="P24" s="82"/>
      <c r="Q24" s="82"/>
      <c r="R24" s="82"/>
      <c r="S24" s="199"/>
      <c r="T24" s="46">
        <f t="shared" ref="T24" si="3">SUM(G24:S24)</f>
        <v>-169.44</v>
      </c>
      <c r="U24" s="183"/>
      <c r="V24" s="53"/>
      <c r="W24" s="187"/>
      <c r="X24" s="53"/>
      <c r="Y24" s="188"/>
      <c r="Z24" s="4"/>
      <c r="AA24" s="188"/>
      <c r="AB24" s="4"/>
      <c r="AC24" s="4"/>
      <c r="AD24" s="4"/>
      <c r="AE24" s="4"/>
    </row>
    <row r="25" spans="1:31" s="4" customFormat="1" ht="14.1" customHeight="1" x14ac:dyDescent="0.25">
      <c r="A25" s="30">
        <v>44825</v>
      </c>
      <c r="B25" s="10" t="s">
        <v>50</v>
      </c>
      <c r="C25" s="4" t="s">
        <v>34</v>
      </c>
      <c r="D25" s="23">
        <v>2887.5</v>
      </c>
      <c r="E25" s="23"/>
      <c r="F25" s="23">
        <f t="shared" si="1"/>
        <v>17062.61</v>
      </c>
      <c r="G25" s="82">
        <f>-D25</f>
        <v>-2887.5</v>
      </c>
      <c r="H25" s="82"/>
      <c r="I25" s="184"/>
      <c r="J25" s="185"/>
      <c r="K25" s="186"/>
      <c r="L25" s="82"/>
      <c r="M25" s="82"/>
      <c r="N25" s="82"/>
      <c r="O25" s="82"/>
      <c r="P25" s="82"/>
      <c r="Q25" s="82"/>
      <c r="R25" s="82"/>
      <c r="S25" s="82"/>
      <c r="T25" s="46">
        <f t="shared" si="0"/>
        <v>-2887.5</v>
      </c>
      <c r="U25" s="183"/>
      <c r="V25" s="31"/>
      <c r="W25" s="187"/>
      <c r="X25" s="53"/>
      <c r="Y25" s="188"/>
      <c r="AA25" s="188"/>
    </row>
    <row r="26" spans="1:31" s="52" customFormat="1" ht="14.1" customHeight="1" x14ac:dyDescent="0.25">
      <c r="A26" s="30">
        <v>44830</v>
      </c>
      <c r="B26" s="10" t="s">
        <v>51</v>
      </c>
      <c r="C26" s="4" t="s">
        <v>37</v>
      </c>
      <c r="D26" s="23"/>
      <c r="E26" s="23">
        <v>13.26</v>
      </c>
      <c r="F26" s="23">
        <f t="shared" si="1"/>
        <v>17049.350000000002</v>
      </c>
      <c r="G26" s="23"/>
      <c r="H26" s="82"/>
      <c r="I26" s="184"/>
      <c r="J26" s="185"/>
      <c r="K26" s="186"/>
      <c r="L26" s="82"/>
      <c r="M26" s="82"/>
      <c r="N26" s="82"/>
      <c r="O26" s="82"/>
      <c r="P26" s="82"/>
      <c r="Q26" s="82"/>
      <c r="R26" s="82">
        <f>E26-S26</f>
        <v>12.629999999999999</v>
      </c>
      <c r="S26" s="88">
        <f>0.23+0.4</f>
        <v>0.63</v>
      </c>
      <c r="T26" s="46">
        <f>SUM(G26:S26)</f>
        <v>13.26</v>
      </c>
      <c r="U26" s="183"/>
      <c r="V26" s="61"/>
      <c r="W26" s="83"/>
      <c r="X26" s="53"/>
      <c r="Y26" s="23"/>
      <c r="Z26" s="4"/>
      <c r="AA26" s="4"/>
      <c r="AB26" s="4"/>
      <c r="AC26" s="4"/>
      <c r="AD26" s="4"/>
      <c r="AE26" s="4"/>
    </row>
    <row r="27" spans="1:31" s="4" customFormat="1" ht="14.1" customHeight="1" x14ac:dyDescent="0.25">
      <c r="A27" s="30">
        <v>44832</v>
      </c>
      <c r="B27" s="48" t="s">
        <v>52</v>
      </c>
      <c r="D27" s="23"/>
      <c r="E27" s="23">
        <v>96</v>
      </c>
      <c r="F27" s="23">
        <f t="shared" si="1"/>
        <v>16953.350000000002</v>
      </c>
      <c r="G27" s="82"/>
      <c r="H27" s="82"/>
      <c r="I27" s="184"/>
      <c r="J27" s="185"/>
      <c r="K27" s="186"/>
      <c r="L27" s="82"/>
      <c r="M27" s="82"/>
      <c r="N27" s="82"/>
      <c r="O27" s="82"/>
      <c r="P27" s="82"/>
      <c r="Q27" s="82">
        <v>96</v>
      </c>
      <c r="R27" s="82"/>
      <c r="S27" s="82"/>
      <c r="T27" s="46">
        <f t="shared" ref="T27:T30" si="4">SUM(G27:S27)</f>
        <v>96</v>
      </c>
      <c r="U27" s="183"/>
      <c r="W27" s="83"/>
      <c r="X27" s="53"/>
    </row>
    <row r="28" spans="1:31" s="52" customFormat="1" ht="14.1" customHeight="1" x14ac:dyDescent="0.25">
      <c r="A28" s="30">
        <v>44832</v>
      </c>
      <c r="B28" s="48" t="s">
        <v>53</v>
      </c>
      <c r="C28" s="4"/>
      <c r="D28" s="23"/>
      <c r="E28" s="23">
        <v>120.2</v>
      </c>
      <c r="F28" s="23">
        <f t="shared" si="1"/>
        <v>16833.150000000001</v>
      </c>
      <c r="G28" s="82"/>
      <c r="H28" s="82"/>
      <c r="I28" s="184"/>
      <c r="J28" s="185"/>
      <c r="K28" s="186">
        <v>120.2</v>
      </c>
      <c r="L28" s="82"/>
      <c r="M28" s="82"/>
      <c r="N28" s="82"/>
      <c r="O28" s="82"/>
      <c r="P28" s="82"/>
      <c r="Q28" s="82"/>
      <c r="R28" s="82"/>
      <c r="S28" s="88"/>
      <c r="T28" s="46">
        <f t="shared" si="4"/>
        <v>120.2</v>
      </c>
      <c r="U28" s="183"/>
      <c r="V28" s="31"/>
      <c r="W28" s="187"/>
      <c r="X28" s="53"/>
      <c r="Y28" s="188"/>
      <c r="Z28" s="4"/>
      <c r="AA28" s="188"/>
      <c r="AB28" s="4"/>
      <c r="AC28" s="4"/>
      <c r="AD28" s="4"/>
      <c r="AE28" s="4"/>
    </row>
    <row r="29" spans="1:31" s="52" customFormat="1" ht="14.1" customHeight="1" x14ac:dyDescent="0.25">
      <c r="A29" s="30">
        <v>44832</v>
      </c>
      <c r="B29" s="48" t="s">
        <v>54</v>
      </c>
      <c r="C29" s="4"/>
      <c r="D29" s="23"/>
      <c r="E29" s="23">
        <v>480.68</v>
      </c>
      <c r="F29" s="23">
        <f t="shared" si="1"/>
        <v>16352.470000000001</v>
      </c>
      <c r="G29" s="82"/>
      <c r="H29" s="82"/>
      <c r="I29" s="184"/>
      <c r="J29" s="185"/>
      <c r="K29" s="186">
        <v>480.68</v>
      </c>
      <c r="L29" s="82"/>
      <c r="M29" s="82"/>
      <c r="N29" s="82"/>
      <c r="O29" s="82"/>
      <c r="P29" s="82"/>
      <c r="Q29" s="82"/>
      <c r="R29" s="82"/>
      <c r="S29" s="88"/>
      <c r="T29" s="46">
        <f t="shared" si="4"/>
        <v>480.68</v>
      </c>
      <c r="U29" s="183"/>
      <c r="V29" s="31"/>
      <c r="W29" s="187"/>
      <c r="X29" s="53"/>
      <c r="Y29" s="188"/>
      <c r="Z29" s="4"/>
      <c r="AA29" s="188"/>
      <c r="AB29" s="4"/>
      <c r="AC29" s="4"/>
      <c r="AD29" s="4"/>
      <c r="AE29" s="4"/>
    </row>
    <row r="30" spans="1:31" s="52" customFormat="1" ht="14.1" customHeight="1" x14ac:dyDescent="0.25">
      <c r="A30" s="30">
        <v>44832</v>
      </c>
      <c r="B30" s="10" t="s">
        <v>55</v>
      </c>
      <c r="C30" s="4"/>
      <c r="D30" s="23"/>
      <c r="E30" s="23">
        <v>195.93</v>
      </c>
      <c r="F30" s="23">
        <f t="shared" si="1"/>
        <v>16156.54</v>
      </c>
      <c r="G30" s="82"/>
      <c r="H30" s="82"/>
      <c r="I30" s="184"/>
      <c r="J30" s="185"/>
      <c r="K30" s="186"/>
      <c r="L30" s="82">
        <v>195.93</v>
      </c>
      <c r="M30" s="82"/>
      <c r="N30" s="82"/>
      <c r="O30" s="82"/>
      <c r="P30" s="82"/>
      <c r="Q30" s="82"/>
      <c r="R30" s="82"/>
      <c r="S30" s="88"/>
      <c r="T30" s="46">
        <f t="shared" si="4"/>
        <v>195.93</v>
      </c>
      <c r="U30" s="183"/>
      <c r="V30" s="31"/>
      <c r="W30" s="187"/>
      <c r="X30" s="53"/>
      <c r="Y30" s="188"/>
      <c r="Z30" s="4"/>
      <c r="AA30" s="188"/>
      <c r="AB30" s="4"/>
      <c r="AC30" s="4"/>
      <c r="AD30" s="4"/>
      <c r="AE30" s="4"/>
    </row>
    <row r="31" spans="1:31" s="52" customFormat="1" ht="14.1" customHeight="1" x14ac:dyDescent="0.25">
      <c r="A31" s="30">
        <v>44832</v>
      </c>
      <c r="B31" s="10" t="s">
        <v>56</v>
      </c>
      <c r="C31" s="4"/>
      <c r="D31" s="23"/>
      <c r="E31" s="23">
        <v>75</v>
      </c>
      <c r="F31" s="23">
        <f t="shared" si="1"/>
        <v>16081.54</v>
      </c>
      <c r="G31" s="82"/>
      <c r="H31" s="82"/>
      <c r="I31" s="184"/>
      <c r="J31" s="185"/>
      <c r="K31" s="186"/>
      <c r="L31" s="82"/>
      <c r="M31" s="82"/>
      <c r="O31" s="82">
        <v>75</v>
      </c>
      <c r="P31" s="82"/>
      <c r="Q31" s="82"/>
      <c r="R31" s="82"/>
      <c r="S31" s="88"/>
      <c r="T31" s="46">
        <v>75</v>
      </c>
      <c r="U31" s="183"/>
      <c r="V31" s="31"/>
      <c r="W31" s="187"/>
      <c r="X31" s="53"/>
      <c r="Y31" s="188"/>
      <c r="Z31" s="4"/>
      <c r="AA31" s="188"/>
      <c r="AB31" s="4"/>
      <c r="AC31" s="4"/>
      <c r="AD31" s="4"/>
      <c r="AE31" s="4"/>
    </row>
    <row r="32" spans="1:31" s="52" customFormat="1" ht="14.1" customHeight="1" x14ac:dyDescent="0.25">
      <c r="A32" s="30">
        <v>44854</v>
      </c>
      <c r="B32" s="48" t="s">
        <v>57</v>
      </c>
      <c r="C32" s="4" t="s">
        <v>58</v>
      </c>
      <c r="D32" s="23"/>
      <c r="E32" s="23">
        <v>35</v>
      </c>
      <c r="F32" s="23">
        <f t="shared" si="1"/>
        <v>16046.54</v>
      </c>
      <c r="G32" s="82"/>
      <c r="H32" s="82"/>
      <c r="I32" s="184"/>
      <c r="J32" s="185"/>
      <c r="K32" s="186"/>
      <c r="L32" s="82"/>
      <c r="M32" s="82"/>
      <c r="O32" s="82">
        <v>35</v>
      </c>
      <c r="P32" s="82"/>
      <c r="Q32" s="82"/>
      <c r="R32" s="82"/>
      <c r="S32" s="82"/>
      <c r="T32" s="46">
        <f t="shared" ref="T32" si="5">SUM(G32:S32)</f>
        <v>35</v>
      </c>
      <c r="U32" s="183"/>
      <c r="V32" s="31"/>
      <c r="W32" s="83"/>
      <c r="X32" s="53"/>
      <c r="Y32" s="4"/>
      <c r="Z32" s="4"/>
      <c r="AA32" s="4"/>
      <c r="AB32" s="4"/>
      <c r="AC32" s="4"/>
      <c r="AD32" s="4"/>
      <c r="AE32" s="4"/>
    </row>
    <row r="33" spans="1:31" s="4" customFormat="1" ht="14.1" customHeight="1" x14ac:dyDescent="0.25">
      <c r="A33" s="30">
        <v>44865</v>
      </c>
      <c r="B33" s="10" t="s">
        <v>59</v>
      </c>
      <c r="C33" s="4" t="s">
        <v>37</v>
      </c>
      <c r="D33" s="23"/>
      <c r="E33" s="23">
        <f>8.58+4.65</f>
        <v>13.23</v>
      </c>
      <c r="F33" s="23">
        <f t="shared" si="1"/>
        <v>16033.310000000001</v>
      </c>
      <c r="G33" s="23"/>
      <c r="H33" s="82"/>
      <c r="I33" s="184"/>
      <c r="J33" s="185"/>
      <c r="K33" s="186"/>
      <c r="L33" s="82"/>
      <c r="M33" s="82"/>
      <c r="N33" s="23"/>
      <c r="O33" s="82"/>
      <c r="P33" s="82"/>
      <c r="Q33" s="82"/>
      <c r="R33" s="23">
        <f>E33-S33</f>
        <v>12.6</v>
      </c>
      <c r="S33" s="82">
        <f>0.22+0.41</f>
        <v>0.63</v>
      </c>
      <c r="T33" s="46">
        <f t="shared" si="0"/>
        <v>13.23</v>
      </c>
      <c r="U33" s="183"/>
      <c r="V33" s="53"/>
      <c r="W33" s="83"/>
      <c r="X33" s="53"/>
      <c r="Y33" s="23"/>
    </row>
    <row r="34" spans="1:31" s="52" customFormat="1" ht="14.1" customHeight="1" x14ac:dyDescent="0.25">
      <c r="A34" s="30">
        <v>44881</v>
      </c>
      <c r="B34" s="48" t="s">
        <v>60</v>
      </c>
      <c r="C34" s="4" t="s">
        <v>34</v>
      </c>
      <c r="D34" s="23">
        <v>10</v>
      </c>
      <c r="E34" s="23"/>
      <c r="F34" s="23">
        <f t="shared" si="1"/>
        <v>16043.310000000001</v>
      </c>
      <c r="G34" s="23"/>
      <c r="H34" s="23">
        <v>-10</v>
      </c>
      <c r="I34" s="181"/>
      <c r="J34" s="182"/>
      <c r="K34" s="186"/>
      <c r="L34" s="82"/>
      <c r="M34" s="4"/>
      <c r="N34" s="204"/>
      <c r="O34" s="82"/>
      <c r="P34" s="82"/>
      <c r="Q34" s="82"/>
      <c r="R34" s="82"/>
      <c r="S34" s="82"/>
      <c r="T34" s="46">
        <f>SUM(G34:S34)</f>
        <v>-10</v>
      </c>
      <c r="U34" s="183"/>
      <c r="V34" s="83"/>
      <c r="W34" s="83"/>
      <c r="X34" s="192"/>
      <c r="Y34" s="83"/>
      <c r="Z34" s="83"/>
      <c r="AA34" s="4"/>
      <c r="AB34" s="83"/>
      <c r="AC34" s="83"/>
      <c r="AD34" s="4"/>
      <c r="AE34" s="4"/>
    </row>
    <row r="35" spans="1:31" s="4" customFormat="1" ht="14.1" customHeight="1" x14ac:dyDescent="0.25">
      <c r="A35" s="247">
        <f>+A37</f>
        <v>44910</v>
      </c>
      <c r="B35" s="10" t="s">
        <v>61</v>
      </c>
      <c r="D35" s="23"/>
      <c r="E35" s="23">
        <v>304.76</v>
      </c>
      <c r="F35" s="23">
        <f t="shared" si="1"/>
        <v>15738.550000000001</v>
      </c>
      <c r="G35" s="23"/>
      <c r="H35" s="82"/>
      <c r="I35" s="184"/>
      <c r="J35" s="185"/>
      <c r="K35" s="186"/>
      <c r="L35" s="82"/>
      <c r="M35" s="82"/>
      <c r="N35" s="23"/>
      <c r="P35" s="82"/>
      <c r="Q35" s="82"/>
      <c r="R35" s="82">
        <v>304.76</v>
      </c>
      <c r="S35" s="82"/>
      <c r="T35" s="46">
        <v>304.76</v>
      </c>
      <c r="U35" s="183"/>
      <c r="V35" s="53"/>
      <c r="W35" s="83"/>
      <c r="X35" s="192"/>
      <c r="Y35" s="23"/>
    </row>
    <row r="36" spans="1:31" s="4" customFormat="1" ht="14.1" customHeight="1" x14ac:dyDescent="0.25">
      <c r="A36" s="30">
        <v>44897</v>
      </c>
      <c r="B36" s="10" t="s">
        <v>62</v>
      </c>
      <c r="C36" s="4" t="s">
        <v>37</v>
      </c>
      <c r="D36" s="23"/>
      <c r="E36" s="23">
        <f>4.8+9.28</f>
        <v>14.079999999999998</v>
      </c>
      <c r="F36" s="23">
        <f t="shared" si="1"/>
        <v>15724.470000000001</v>
      </c>
      <c r="G36" s="23"/>
      <c r="H36" s="82"/>
      <c r="I36" s="184"/>
      <c r="J36" s="185"/>
      <c r="K36" s="186"/>
      <c r="L36" s="82"/>
      <c r="M36" s="82"/>
      <c r="N36" s="82"/>
      <c r="O36" s="82"/>
      <c r="P36" s="82"/>
      <c r="Q36" s="82"/>
      <c r="R36" s="82">
        <f>E36-S36</f>
        <v>13.409999999999998</v>
      </c>
      <c r="S36" s="82">
        <f>0.23+0.44</f>
        <v>0.67</v>
      </c>
      <c r="T36" s="46">
        <f t="shared" si="0"/>
        <v>14.079999999999998</v>
      </c>
      <c r="U36" s="183"/>
      <c r="V36" s="53"/>
      <c r="W36" s="83"/>
      <c r="X36" s="53"/>
      <c r="Y36" s="23"/>
    </row>
    <row r="37" spans="1:31" s="52" customFormat="1" ht="14.1" customHeight="1" x14ac:dyDescent="0.25">
      <c r="A37" s="30">
        <v>44910</v>
      </c>
      <c r="B37" s="48" t="s">
        <v>63</v>
      </c>
      <c r="C37" s="4"/>
      <c r="D37" s="23"/>
      <c r="E37" s="23">
        <v>105</v>
      </c>
      <c r="F37" s="23">
        <f t="shared" si="1"/>
        <v>15619.470000000001</v>
      </c>
      <c r="G37" s="82"/>
      <c r="H37" s="82"/>
      <c r="I37" s="184"/>
      <c r="J37" s="185"/>
      <c r="K37" s="47"/>
      <c r="L37" s="23"/>
      <c r="M37" s="23"/>
      <c r="N37" s="23"/>
      <c r="O37" s="23"/>
      <c r="P37" s="23"/>
      <c r="Q37" s="82">
        <f>E37</f>
        <v>105</v>
      </c>
      <c r="R37" s="23"/>
      <c r="S37" s="23"/>
      <c r="T37" s="46">
        <f t="shared" si="0"/>
        <v>105</v>
      </c>
      <c r="U37" s="183"/>
      <c r="V37" s="53"/>
      <c r="W37" s="83"/>
      <c r="X37" s="192"/>
      <c r="Y37" s="4"/>
      <c r="Z37" s="4"/>
      <c r="AA37" s="4"/>
      <c r="AB37" s="4"/>
      <c r="AC37" s="4"/>
      <c r="AD37" s="4"/>
      <c r="AE37" s="4"/>
    </row>
    <row r="38" spans="1:31" s="52" customFormat="1" ht="14.1" customHeight="1" x14ac:dyDescent="0.25">
      <c r="A38" s="30">
        <v>44910</v>
      </c>
      <c r="B38" s="48" t="s">
        <v>64</v>
      </c>
      <c r="C38" s="4"/>
      <c r="D38" s="23"/>
      <c r="E38" s="250">
        <v>178.6</v>
      </c>
      <c r="F38" s="23">
        <f t="shared" si="1"/>
        <v>15440.87</v>
      </c>
      <c r="G38" s="82"/>
      <c r="H38" s="82"/>
      <c r="I38" s="184"/>
      <c r="J38" s="185"/>
      <c r="K38" s="186">
        <v>178.6</v>
      </c>
      <c r="L38" s="82"/>
      <c r="M38" s="82"/>
      <c r="N38" s="82"/>
      <c r="O38" s="82"/>
      <c r="P38" s="82"/>
      <c r="R38" s="82"/>
      <c r="S38" s="82"/>
      <c r="T38" s="46">
        <f t="shared" si="0"/>
        <v>178.6</v>
      </c>
      <c r="U38" s="183"/>
      <c r="V38" s="61"/>
      <c r="W38" s="83"/>
      <c r="X38" s="192"/>
      <c r="Y38" s="4"/>
      <c r="Z38" s="4"/>
      <c r="AA38" s="4"/>
      <c r="AB38" s="4"/>
      <c r="AC38" s="4"/>
      <c r="AD38" s="4"/>
      <c r="AE38" s="4"/>
    </row>
    <row r="39" spans="1:31" s="259" customFormat="1" ht="14.1" customHeight="1" x14ac:dyDescent="0.25">
      <c r="A39" s="260">
        <v>44910</v>
      </c>
      <c r="B39" s="261" t="s">
        <v>65</v>
      </c>
      <c r="C39" s="251"/>
      <c r="D39" s="250"/>
      <c r="E39" s="250">
        <v>826.97</v>
      </c>
      <c r="F39" s="23">
        <f t="shared" si="1"/>
        <v>14613.900000000001</v>
      </c>
      <c r="G39" s="250"/>
      <c r="H39" s="250"/>
      <c r="I39" s="252"/>
      <c r="J39" s="253"/>
      <c r="K39" s="254">
        <v>714.28</v>
      </c>
      <c r="L39" s="255">
        <v>112.69</v>
      </c>
      <c r="M39" s="255"/>
      <c r="N39" s="255"/>
      <c r="O39" s="255"/>
      <c r="P39" s="255"/>
      <c r="Q39" s="255"/>
      <c r="R39" s="255"/>
      <c r="S39" s="255"/>
      <c r="T39" s="46">
        <f t="shared" si="0"/>
        <v>826.97</v>
      </c>
      <c r="U39" s="256"/>
      <c r="V39" s="257"/>
      <c r="W39" s="258"/>
      <c r="X39" s="192"/>
      <c r="Y39" s="258"/>
      <c r="Z39" s="258"/>
      <c r="AA39" s="251"/>
      <c r="AB39" s="258"/>
      <c r="AC39" s="258"/>
      <c r="AD39" s="251"/>
      <c r="AE39" s="251"/>
    </row>
    <row r="40" spans="1:31" s="52" customFormat="1" ht="14.1" customHeight="1" x14ac:dyDescent="0.25">
      <c r="A40" s="30">
        <v>44925</v>
      </c>
      <c r="B40" s="48" t="s">
        <v>66</v>
      </c>
      <c r="C40" s="4" t="s">
        <v>37</v>
      </c>
      <c r="D40" s="23"/>
      <c r="E40" s="23">
        <v>14.22</v>
      </c>
      <c r="F40" s="23">
        <f t="shared" si="1"/>
        <v>14599.680000000002</v>
      </c>
      <c r="G40" s="23"/>
      <c r="H40" s="23"/>
      <c r="I40" s="181"/>
      <c r="J40" s="182"/>
      <c r="K40" s="47"/>
      <c r="L40" s="23"/>
      <c r="M40" s="23"/>
      <c r="N40" s="23"/>
      <c r="O40" s="23"/>
      <c r="P40" s="23"/>
      <c r="Q40" s="23"/>
      <c r="R40" s="23">
        <f>E40-S40</f>
        <v>13.540000000000001</v>
      </c>
      <c r="S40" s="23">
        <f>0.22+0.46</f>
        <v>0.68</v>
      </c>
      <c r="T40" s="46">
        <f t="shared" si="0"/>
        <v>14.22</v>
      </c>
      <c r="U40" s="183"/>
      <c r="V40" s="202"/>
      <c r="W40" s="83"/>
      <c r="X40" s="192"/>
      <c r="Y40" s="83"/>
      <c r="Z40" s="83"/>
      <c r="AA40" s="4"/>
      <c r="AB40" s="83"/>
      <c r="AC40" s="83"/>
      <c r="AD40" s="4"/>
      <c r="AE40" s="4"/>
    </row>
    <row r="41" spans="1:31" s="52" customFormat="1" ht="14.1" customHeight="1" x14ac:dyDescent="0.25">
      <c r="A41" s="30">
        <v>44945</v>
      </c>
      <c r="B41" s="262" t="s">
        <v>67</v>
      </c>
      <c r="C41" s="4"/>
      <c r="D41" s="23">
        <v>174.69</v>
      </c>
      <c r="E41" s="23"/>
      <c r="F41" s="23">
        <f t="shared" si="1"/>
        <v>14774.370000000003</v>
      </c>
      <c r="G41" s="23"/>
      <c r="H41" s="23">
        <v>-174.69</v>
      </c>
      <c r="I41" s="181"/>
      <c r="J41" s="182"/>
      <c r="K41" s="47"/>
      <c r="L41" s="23"/>
      <c r="M41" s="23"/>
      <c r="N41" s="23"/>
      <c r="O41" s="23"/>
      <c r="P41" s="23"/>
      <c r="Q41" s="23"/>
      <c r="R41" s="23"/>
      <c r="S41" s="23"/>
      <c r="T41" s="46">
        <v>-174.69</v>
      </c>
      <c r="U41" s="183"/>
      <c r="V41" s="202"/>
      <c r="W41" s="83"/>
      <c r="X41" s="192"/>
      <c r="Y41" s="83"/>
      <c r="Z41" s="83"/>
      <c r="AA41" s="4"/>
      <c r="AB41" s="83"/>
      <c r="AC41" s="83"/>
      <c r="AD41" s="4"/>
      <c r="AE41" s="4"/>
    </row>
    <row r="42" spans="1:31" s="4" customFormat="1" ht="13.5" customHeight="1" x14ac:dyDescent="0.25">
      <c r="A42" s="30">
        <v>44979</v>
      </c>
      <c r="B42" s="48" t="s">
        <v>68</v>
      </c>
      <c r="D42" s="23"/>
      <c r="E42" s="23">
        <v>152</v>
      </c>
      <c r="F42" s="23">
        <f t="shared" si="1"/>
        <v>14622.370000000003</v>
      </c>
      <c r="G42" s="82"/>
      <c r="H42" s="82"/>
      <c r="I42" s="184"/>
      <c r="J42" s="185"/>
      <c r="K42" s="47"/>
      <c r="L42" s="23"/>
      <c r="M42" s="23"/>
      <c r="N42" s="23"/>
      <c r="O42" s="23">
        <v>152</v>
      </c>
      <c r="P42" s="23"/>
      <c r="Q42" s="23"/>
      <c r="R42" s="23"/>
      <c r="S42" s="23"/>
      <c r="T42" s="46">
        <v>152</v>
      </c>
      <c r="U42" s="183"/>
      <c r="V42" s="203"/>
      <c r="W42" s="83"/>
      <c r="X42" s="192"/>
    </row>
    <row r="43" spans="1:31" s="4" customFormat="1" ht="13.5" customHeight="1" x14ac:dyDescent="0.25">
      <c r="A43" s="30">
        <v>44979</v>
      </c>
      <c r="B43" s="48" t="s">
        <v>69</v>
      </c>
      <c r="D43" s="23"/>
      <c r="E43" s="23">
        <v>96</v>
      </c>
      <c r="F43" s="23">
        <f t="shared" si="1"/>
        <v>14526.370000000003</v>
      </c>
      <c r="G43" s="82"/>
      <c r="H43" s="82"/>
      <c r="I43" s="184"/>
      <c r="J43" s="185"/>
      <c r="K43" s="47"/>
      <c r="L43" s="23"/>
      <c r="M43" s="23"/>
      <c r="N43" s="23"/>
      <c r="O43" s="23">
        <v>96</v>
      </c>
      <c r="P43" s="23"/>
      <c r="Q43" s="23"/>
      <c r="R43" s="23"/>
      <c r="S43" s="23"/>
      <c r="T43" s="46">
        <v>96</v>
      </c>
      <c r="U43" s="183"/>
      <c r="V43" s="203"/>
      <c r="W43" s="83"/>
      <c r="X43" s="192"/>
    </row>
    <row r="44" spans="1:31" s="4" customFormat="1" ht="12.75" customHeight="1" x14ac:dyDescent="0.25">
      <c r="A44" s="30">
        <v>44979</v>
      </c>
      <c r="B44" s="48" t="s">
        <v>70</v>
      </c>
      <c r="D44" s="23"/>
      <c r="E44" s="23">
        <v>135</v>
      </c>
      <c r="F44" s="23">
        <f t="shared" si="1"/>
        <v>14391.370000000003</v>
      </c>
      <c r="G44" s="82"/>
      <c r="H44" s="82"/>
      <c r="I44" s="184"/>
      <c r="J44" s="185"/>
      <c r="K44" s="47"/>
      <c r="L44" s="23"/>
      <c r="M44" s="23"/>
      <c r="N44" s="23"/>
      <c r="O44" s="23"/>
      <c r="P44" s="23"/>
      <c r="Q44" s="23"/>
      <c r="R44" s="23">
        <v>135</v>
      </c>
      <c r="S44" s="23"/>
      <c r="T44" s="46">
        <f>SUM(G44:S44)</f>
        <v>135</v>
      </c>
      <c r="U44" s="183"/>
      <c r="V44" s="203"/>
      <c r="W44" s="83"/>
      <c r="X44" s="192"/>
    </row>
    <row r="45" spans="1:31" s="4" customFormat="1" ht="14.1" customHeight="1" x14ac:dyDescent="0.25">
      <c r="A45" s="30">
        <v>44953</v>
      </c>
      <c r="B45" s="10" t="s">
        <v>71</v>
      </c>
      <c r="C45" s="4" t="s">
        <v>37</v>
      </c>
      <c r="D45" s="23"/>
      <c r="E45" s="23">
        <v>15.31</v>
      </c>
      <c r="F45" s="23">
        <f t="shared" si="1"/>
        <v>14376.060000000003</v>
      </c>
      <c r="G45" s="23"/>
      <c r="H45" s="23" t="s">
        <v>72</v>
      </c>
      <c r="I45" s="184"/>
      <c r="J45" s="185"/>
      <c r="K45" s="186"/>
      <c r="L45" s="82"/>
      <c r="M45" s="82"/>
      <c r="N45" s="204"/>
      <c r="O45" s="82"/>
      <c r="P45" s="82"/>
      <c r="Q45" s="82"/>
      <c r="R45" s="23">
        <f>E45-S45</f>
        <v>14.58</v>
      </c>
      <c r="S45" s="82">
        <f>0.23+0.5</f>
        <v>0.73</v>
      </c>
      <c r="T45" s="46">
        <f>SUM(G45:S45)</f>
        <v>15.31</v>
      </c>
      <c r="U45" s="207"/>
      <c r="V45" s="222"/>
      <c r="W45" s="83"/>
      <c r="X45" s="192"/>
      <c r="Y45" s="23"/>
    </row>
    <row r="46" spans="1:31" s="4" customFormat="1" ht="14.1" customHeight="1" x14ac:dyDescent="0.25">
      <c r="A46" s="30">
        <v>44971</v>
      </c>
      <c r="B46" s="10" t="s">
        <v>73</v>
      </c>
      <c r="C46" s="4" t="s">
        <v>37</v>
      </c>
      <c r="D46" s="23"/>
      <c r="E46" s="23">
        <v>15.05</v>
      </c>
      <c r="F46" s="23">
        <f t="shared" si="1"/>
        <v>14361.010000000004</v>
      </c>
      <c r="G46" s="23"/>
      <c r="H46" s="23"/>
      <c r="I46" s="184"/>
      <c r="J46" s="185"/>
      <c r="K46" s="186"/>
      <c r="L46" s="82"/>
      <c r="M46" s="82"/>
      <c r="N46" s="82"/>
      <c r="O46" s="82"/>
      <c r="P46" s="82"/>
      <c r="Q46" s="82"/>
      <c r="R46" s="23">
        <f>E46-S46</f>
        <v>14.33</v>
      </c>
      <c r="S46" s="82">
        <v>0.72</v>
      </c>
      <c r="T46" s="46">
        <f t="shared" si="0"/>
        <v>15.05</v>
      </c>
      <c r="U46" s="183"/>
      <c r="V46" s="53"/>
      <c r="W46" s="83"/>
      <c r="X46" s="192"/>
      <c r="Y46" s="23"/>
    </row>
    <row r="47" spans="1:31" s="4" customFormat="1" ht="14.1" customHeight="1" x14ac:dyDescent="0.25">
      <c r="A47" s="30">
        <v>45001</v>
      </c>
      <c r="B47" s="48" t="s">
        <v>74</v>
      </c>
      <c r="D47" s="23"/>
      <c r="E47" s="23">
        <v>98</v>
      </c>
      <c r="F47" s="23">
        <f t="shared" si="1"/>
        <v>14263.010000000004</v>
      </c>
      <c r="G47" s="82"/>
      <c r="H47" s="82"/>
      <c r="I47" s="184"/>
      <c r="J47" s="185"/>
      <c r="K47" s="186">
        <f>E47</f>
        <v>98</v>
      </c>
      <c r="N47" s="204"/>
      <c r="O47" s="82"/>
      <c r="P47" s="82"/>
      <c r="R47" s="82"/>
      <c r="S47" s="82"/>
      <c r="T47" s="46">
        <f t="shared" si="0"/>
        <v>98</v>
      </c>
      <c r="U47" s="183"/>
      <c r="V47" s="53"/>
      <c r="W47" s="83"/>
      <c r="X47" s="192"/>
    </row>
    <row r="48" spans="1:31" s="4" customFormat="1" ht="14.1" customHeight="1" x14ac:dyDescent="0.25">
      <c r="A48" s="30">
        <v>45001</v>
      </c>
      <c r="B48" s="48" t="s">
        <v>75</v>
      </c>
      <c r="D48" s="23"/>
      <c r="E48" s="23">
        <v>490.63</v>
      </c>
      <c r="F48" s="23">
        <f t="shared" si="1"/>
        <v>13772.380000000005</v>
      </c>
      <c r="G48" s="82"/>
      <c r="H48" s="82"/>
      <c r="I48" s="184"/>
      <c r="J48" s="185"/>
      <c r="K48" s="4">
        <v>490.63</v>
      </c>
      <c r="L48" s="82"/>
      <c r="M48" s="82"/>
      <c r="N48" s="82"/>
      <c r="O48" s="82"/>
      <c r="P48" s="82"/>
      <c r="Q48" s="82"/>
      <c r="R48" s="82"/>
      <c r="S48" s="82"/>
      <c r="T48" s="46">
        <f t="shared" si="0"/>
        <v>490.63</v>
      </c>
      <c r="U48" s="221"/>
      <c r="V48" s="53"/>
      <c r="W48" s="83"/>
      <c r="X48" s="192"/>
    </row>
    <row r="49" spans="1:31" s="4" customFormat="1" ht="14.1" customHeight="1" x14ac:dyDescent="0.25">
      <c r="A49" s="247">
        <v>45001</v>
      </c>
      <c r="B49" s="48" t="s">
        <v>76</v>
      </c>
      <c r="D49" s="23"/>
      <c r="E49" s="23">
        <v>22.7</v>
      </c>
      <c r="F49" s="23">
        <f t="shared" si="1"/>
        <v>13749.680000000004</v>
      </c>
      <c r="G49" s="82"/>
      <c r="H49" s="82"/>
      <c r="I49" s="184"/>
      <c r="J49" s="185"/>
      <c r="K49" s="186"/>
      <c r="L49" s="83">
        <v>22.7</v>
      </c>
      <c r="M49" s="82"/>
      <c r="N49" s="82"/>
      <c r="O49" s="82"/>
      <c r="P49" s="82"/>
      <c r="Q49" s="82"/>
      <c r="R49" s="82"/>
      <c r="S49" s="82"/>
      <c r="T49" s="46">
        <f t="shared" si="0"/>
        <v>22.7</v>
      </c>
      <c r="U49" s="183"/>
      <c r="V49" s="53"/>
      <c r="W49" s="83"/>
      <c r="X49" s="192"/>
    </row>
    <row r="50" spans="1:31" s="4" customFormat="1" ht="14.1" customHeight="1" x14ac:dyDescent="0.25">
      <c r="A50" s="30">
        <v>45011</v>
      </c>
      <c r="B50" s="10" t="s">
        <v>77</v>
      </c>
      <c r="C50" s="4" t="s">
        <v>37</v>
      </c>
      <c r="D50" s="23"/>
      <c r="E50" s="23">
        <v>13.35</v>
      </c>
      <c r="F50" s="23">
        <f t="shared" si="1"/>
        <v>13736.330000000004</v>
      </c>
      <c r="G50" s="23"/>
      <c r="H50" s="23"/>
      <c r="I50" s="184"/>
      <c r="J50" s="185"/>
      <c r="L50" s="82"/>
      <c r="M50" s="82"/>
      <c r="N50" s="82"/>
      <c r="O50" s="82"/>
      <c r="P50" s="82"/>
      <c r="Q50" s="82"/>
      <c r="R50" s="23">
        <f>E50-S50</f>
        <v>12.709999999999999</v>
      </c>
      <c r="S50" s="82">
        <v>0.64</v>
      </c>
      <c r="T50" s="46">
        <f t="shared" si="0"/>
        <v>13.35</v>
      </c>
      <c r="U50" s="207"/>
      <c r="V50" s="222"/>
      <c r="W50" s="83"/>
      <c r="X50" s="192"/>
      <c r="Y50" s="23"/>
    </row>
    <row r="51" spans="1:31" s="54" customFormat="1" ht="14.1" customHeight="1" x14ac:dyDescent="0.25">
      <c r="A51" s="236">
        <v>45016</v>
      </c>
      <c r="B51" s="43"/>
      <c r="C51" s="4"/>
      <c r="D51" s="23"/>
      <c r="E51" s="23"/>
      <c r="F51" s="85">
        <f>F50+D51-E51</f>
        <v>13736.330000000004</v>
      </c>
      <c r="G51" s="23"/>
      <c r="H51" s="23"/>
      <c r="I51" s="184"/>
      <c r="J51" s="182"/>
      <c r="K51" s="186"/>
      <c r="L51" s="263"/>
      <c r="M51" s="82"/>
      <c r="N51" s="82"/>
      <c r="O51" s="82"/>
      <c r="P51" s="82"/>
      <c r="Q51" s="82"/>
      <c r="R51" s="82"/>
      <c r="S51" s="82"/>
      <c r="T51" s="46"/>
      <c r="U51" s="93"/>
      <c r="V51" s="212"/>
      <c r="W51" s="83"/>
      <c r="X51" s="192"/>
      <c r="Y51" s="83"/>
      <c r="Z51" s="83"/>
      <c r="AA51" s="4"/>
      <c r="AB51" s="83"/>
      <c r="AC51" s="83"/>
      <c r="AD51" s="4"/>
      <c r="AE51" s="4"/>
    </row>
    <row r="52" spans="1:31" s="54" customFormat="1" ht="12" customHeight="1" x14ac:dyDescent="0.25">
      <c r="A52" s="234"/>
      <c r="B52" s="92"/>
      <c r="C52" s="4"/>
      <c r="D52" s="23"/>
      <c r="E52" s="23"/>
      <c r="F52" s="23"/>
      <c r="G52" s="23"/>
      <c r="H52" s="23"/>
      <c r="I52" s="181"/>
      <c r="J52" s="182"/>
      <c r="K52" s="47"/>
      <c r="L52" s="23"/>
      <c r="M52" s="23"/>
      <c r="N52" s="205"/>
      <c r="O52" s="23"/>
      <c r="P52" s="23"/>
      <c r="Q52" s="23"/>
      <c r="R52" s="23"/>
      <c r="S52" s="23"/>
      <c r="T52" s="46"/>
      <c r="U52" s="183"/>
      <c r="V52" s="58"/>
      <c r="W52" s="83"/>
      <c r="X52" s="192"/>
      <c r="Y52" s="83"/>
      <c r="Z52" s="83"/>
      <c r="AA52" s="4"/>
      <c r="AB52" s="83"/>
      <c r="AC52" s="83"/>
      <c r="AD52" s="4"/>
      <c r="AE52" s="4"/>
    </row>
    <row r="53" spans="1:31" s="54" customFormat="1" x14ac:dyDescent="0.25">
      <c r="A53" s="236">
        <v>44287</v>
      </c>
      <c r="B53" s="228" t="s">
        <v>78</v>
      </c>
      <c r="C53" s="206"/>
      <c r="D53" s="23"/>
      <c r="E53" s="23"/>
      <c r="F53" s="85">
        <v>4714.33</v>
      </c>
      <c r="G53" s="82"/>
      <c r="H53" s="82"/>
      <c r="I53" s="184"/>
      <c r="J53" s="185"/>
      <c r="K53" s="47"/>
      <c r="L53" s="23"/>
      <c r="M53" s="23"/>
      <c r="N53" s="205"/>
      <c r="O53" s="23"/>
      <c r="P53" s="23"/>
      <c r="Q53" s="23"/>
      <c r="R53" s="23"/>
      <c r="S53" s="23"/>
      <c r="T53" s="46"/>
      <c r="U53" s="183"/>
      <c r="V53" s="53"/>
      <c r="W53" s="83"/>
      <c r="X53" s="192"/>
      <c r="Y53" s="4"/>
      <c r="Z53" s="4"/>
      <c r="AA53" s="4"/>
      <c r="AB53" s="4"/>
      <c r="AC53" s="4"/>
      <c r="AD53" s="4"/>
      <c r="AE53" s="4"/>
    </row>
    <row r="54" spans="1:31" s="4" customFormat="1" x14ac:dyDescent="0.25">
      <c r="A54" s="30">
        <v>44718</v>
      </c>
      <c r="B54" s="48" t="s">
        <v>79</v>
      </c>
      <c r="D54" s="23">
        <v>0.36</v>
      </c>
      <c r="E54" s="23"/>
      <c r="F54" s="23">
        <f>F53+D54</f>
        <v>4714.6899999999996</v>
      </c>
      <c r="G54" s="82"/>
      <c r="H54" s="82">
        <f>-D54</f>
        <v>-0.36</v>
      </c>
      <c r="I54" s="184"/>
      <c r="J54" s="185"/>
      <c r="K54" s="186"/>
      <c r="L54" s="82"/>
      <c r="M54" s="82"/>
      <c r="N54" s="82"/>
      <c r="O54" s="82"/>
      <c r="P54" s="82"/>
      <c r="Q54" s="82"/>
      <c r="R54" s="82"/>
      <c r="S54" s="82"/>
      <c r="T54" s="46">
        <f>SUM(G54:S54)</f>
        <v>-0.36</v>
      </c>
      <c r="U54" s="183"/>
      <c r="V54" s="53"/>
      <c r="W54" s="83"/>
      <c r="X54" s="192"/>
    </row>
    <row r="55" spans="1:31" s="4" customFormat="1" x14ac:dyDescent="0.25">
      <c r="A55" s="30">
        <v>44809</v>
      </c>
      <c r="B55" s="48" t="s">
        <v>80</v>
      </c>
      <c r="D55" s="23">
        <v>1.45</v>
      </c>
      <c r="E55" s="23"/>
      <c r="F55" s="23">
        <f t="shared" ref="F55:F56" si="6">F54+D55</f>
        <v>4716.1399999999994</v>
      </c>
      <c r="G55" s="82"/>
      <c r="H55" s="82">
        <f>-D55</f>
        <v>-1.45</v>
      </c>
      <c r="I55" s="184"/>
      <c r="J55" s="185"/>
      <c r="K55" s="186"/>
      <c r="L55" s="82"/>
      <c r="M55" s="82"/>
      <c r="N55" s="82"/>
      <c r="O55" s="82"/>
      <c r="P55" s="82"/>
      <c r="Q55" s="82"/>
      <c r="R55" s="82"/>
      <c r="S55" s="82"/>
      <c r="T55" s="46">
        <f>SUM(G55:S55)</f>
        <v>-1.45</v>
      </c>
      <c r="U55" s="183"/>
      <c r="V55" s="53"/>
      <c r="W55" s="83"/>
      <c r="X55" s="192"/>
    </row>
    <row r="56" spans="1:31" s="4" customFormat="1" x14ac:dyDescent="0.25">
      <c r="A56" s="30">
        <v>44900</v>
      </c>
      <c r="B56" s="48" t="s">
        <v>80</v>
      </c>
      <c r="D56" s="23">
        <v>2.63</v>
      </c>
      <c r="E56" s="23"/>
      <c r="F56" s="23">
        <f t="shared" si="6"/>
        <v>4718.7699999999995</v>
      </c>
      <c r="G56" s="82"/>
      <c r="H56" s="82">
        <f>-D56</f>
        <v>-2.63</v>
      </c>
      <c r="I56" s="184"/>
      <c r="J56" s="185"/>
      <c r="K56" s="186"/>
      <c r="L56" s="82"/>
      <c r="M56" s="82"/>
      <c r="N56" s="82"/>
      <c r="O56" s="82"/>
      <c r="P56" s="82"/>
      <c r="Q56" s="82"/>
      <c r="R56" s="82"/>
      <c r="S56" s="82"/>
      <c r="T56" s="46">
        <f>SUM(G56:S56)</f>
        <v>-2.63</v>
      </c>
      <c r="U56" s="183"/>
      <c r="V56" s="53"/>
      <c r="W56" s="83"/>
      <c r="X56" s="192"/>
    </row>
    <row r="57" spans="1:31" s="4" customFormat="1" ht="13.8" thickBot="1" x14ac:dyDescent="0.3">
      <c r="A57" s="30">
        <v>44991</v>
      </c>
      <c r="B57" s="48" t="s">
        <v>80</v>
      </c>
      <c r="D57" s="23">
        <v>5.86</v>
      </c>
      <c r="E57" s="23"/>
      <c r="F57" s="85">
        <f>F56+D57</f>
        <v>4724.6299999999992</v>
      </c>
      <c r="G57" s="82"/>
      <c r="H57" s="82">
        <f>-D57</f>
        <v>-5.86</v>
      </c>
      <c r="I57" s="184"/>
      <c r="J57" s="185"/>
      <c r="K57" s="281"/>
      <c r="L57" s="282"/>
      <c r="M57" s="282"/>
      <c r="N57" s="282"/>
      <c r="O57" s="282"/>
      <c r="P57" s="282"/>
      <c r="Q57" s="282"/>
      <c r="R57" s="282"/>
      <c r="S57" s="282"/>
      <c r="T57" s="46">
        <f>SUM(G57:S57)</f>
        <v>-5.86</v>
      </c>
      <c r="U57" s="183"/>
      <c r="V57" s="53"/>
      <c r="W57" s="83"/>
      <c r="X57" s="192"/>
    </row>
    <row r="58" spans="1:31" s="57" customFormat="1" ht="18.899999999999999" customHeight="1" thickBot="1" x14ac:dyDescent="0.3">
      <c r="A58" s="237" t="s">
        <v>81</v>
      </c>
      <c r="B58" s="229" t="s">
        <v>82</v>
      </c>
      <c r="C58" s="55"/>
      <c r="D58" s="56">
        <f>SUM(D8:D57)</f>
        <v>8403.43</v>
      </c>
      <c r="E58" s="56">
        <f>SUM(E8:E57)</f>
        <v>5188.7800000000007</v>
      </c>
      <c r="F58" s="56">
        <f>F51+F57</f>
        <v>18460.960000000003</v>
      </c>
      <c r="G58" s="56">
        <f>SUM(G9:G57)</f>
        <v>-5775</v>
      </c>
      <c r="H58" s="56">
        <f>SUM(H9:H57)</f>
        <v>-2628.4300000000003</v>
      </c>
      <c r="I58" s="56">
        <f>SUM(I9:I57)</f>
        <v>0</v>
      </c>
      <c r="J58" s="56">
        <f>SUM(J9:J57)</f>
        <v>0</v>
      </c>
      <c r="K58" s="283">
        <f>SUM(K8:K57)</f>
        <v>2776.99</v>
      </c>
      <c r="L58" s="283">
        <f t="shared" ref="L58:T58" si="7">SUM(L8:L57)</f>
        <v>331.32</v>
      </c>
      <c r="M58" s="283">
        <f t="shared" si="7"/>
        <v>0</v>
      </c>
      <c r="N58" s="283">
        <f t="shared" si="7"/>
        <v>0</v>
      </c>
      <c r="O58" s="283">
        <f t="shared" si="7"/>
        <v>558</v>
      </c>
      <c r="P58" s="283">
        <f t="shared" si="7"/>
        <v>349.38</v>
      </c>
      <c r="Q58" s="283">
        <f t="shared" si="7"/>
        <v>417</v>
      </c>
      <c r="R58" s="283">
        <f t="shared" si="7"/>
        <v>748.16000000000008</v>
      </c>
      <c r="S58" s="283">
        <f t="shared" si="7"/>
        <v>7.93</v>
      </c>
      <c r="T58" s="283">
        <f t="shared" si="7"/>
        <v>-3214.6499999999996</v>
      </c>
      <c r="U58" s="64"/>
      <c r="V58" s="60"/>
      <c r="W58" s="284"/>
      <c r="X58" s="195"/>
    </row>
    <row r="59" spans="1:31" s="305" customFormat="1" ht="18.899999999999999" customHeight="1" thickBot="1" x14ac:dyDescent="0.3">
      <c r="A59" s="303"/>
      <c r="B59" s="304"/>
      <c r="D59" s="306"/>
      <c r="E59" s="306"/>
      <c r="F59" s="306"/>
      <c r="G59" s="306"/>
      <c r="H59" s="306"/>
      <c r="I59" s="306"/>
      <c r="J59" s="306"/>
      <c r="K59" s="307"/>
      <c r="L59" s="307"/>
      <c r="M59" s="307"/>
      <c r="N59" s="307"/>
      <c r="O59" s="307"/>
      <c r="P59" s="307"/>
      <c r="Q59" s="307"/>
      <c r="R59" s="307"/>
      <c r="S59" s="307"/>
      <c r="T59" s="307"/>
      <c r="U59" s="308"/>
      <c r="V59" s="309"/>
      <c r="W59" s="310"/>
      <c r="X59" s="311"/>
    </row>
    <row r="60" spans="1:31" s="62" customFormat="1" x14ac:dyDescent="0.25">
      <c r="A60" s="238"/>
      <c r="B60" s="230"/>
      <c r="C60"/>
      <c r="D60" s="24"/>
      <c r="E60" s="24"/>
      <c r="G60" s="24"/>
      <c r="H60" s="24"/>
      <c r="J60" s="24"/>
      <c r="K60" s="44"/>
      <c r="L60" s="44"/>
      <c r="M60" s="201"/>
      <c r="N60" s="44"/>
      <c r="O60" s="44"/>
      <c r="P60" s="44"/>
      <c r="Q60" s="44"/>
      <c r="R60" s="44"/>
      <c r="S60" s="44"/>
      <c r="T60" s="94"/>
      <c r="U60" s="65"/>
      <c r="V60" s="63"/>
      <c r="W60" s="202"/>
      <c r="X60" s="196"/>
      <c r="Y60" s="1"/>
      <c r="Z60" s="1"/>
      <c r="AA60"/>
      <c r="AB60" s="1"/>
      <c r="AC60" s="1"/>
      <c r="AD60"/>
      <c r="AE60"/>
    </row>
    <row r="61" spans="1:31" s="62" customFormat="1" x14ac:dyDescent="0.25">
      <c r="A61" s="238" t="s">
        <v>83</v>
      </c>
      <c r="B61" s="230"/>
      <c r="C61" t="s">
        <v>83</v>
      </c>
      <c r="D61" s="24"/>
      <c r="E61" s="24"/>
      <c r="F61" s="24"/>
      <c r="G61" t="s">
        <v>84</v>
      </c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86"/>
      <c r="S61" s="24"/>
      <c r="T61" s="86"/>
      <c r="U61" s="65"/>
      <c r="V61" s="63"/>
      <c r="W61" s="1"/>
      <c r="X61" s="196"/>
      <c r="Y61" s="1"/>
      <c r="Z61" s="1"/>
      <c r="AA61"/>
      <c r="AB61" s="1"/>
      <c r="AC61" s="1"/>
      <c r="AD61"/>
      <c r="AE61"/>
    </row>
    <row r="62" spans="1:31" s="62" customFormat="1" x14ac:dyDescent="0.25">
      <c r="A62" s="238"/>
      <c r="B62" s="230"/>
      <c r="C62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86"/>
      <c r="U62" s="65"/>
      <c r="V62" s="63"/>
      <c r="W62" s="1"/>
      <c r="X62" s="196"/>
      <c r="Y62" s="1"/>
      <c r="Z62" s="1"/>
      <c r="AA62"/>
      <c r="AB62" s="1"/>
      <c r="AC62" s="1"/>
      <c r="AD62"/>
      <c r="AE62"/>
    </row>
    <row r="63" spans="1:31" s="62" customFormat="1" x14ac:dyDescent="0.25">
      <c r="A63" s="238" t="s">
        <v>85</v>
      </c>
      <c r="B63" s="230"/>
      <c r="C63" t="s">
        <v>86</v>
      </c>
      <c r="D63" s="24"/>
      <c r="E63" s="24"/>
      <c r="F63" s="24"/>
      <c r="G63" t="s">
        <v>87</v>
      </c>
      <c r="H63" s="24"/>
      <c r="I63" s="24"/>
      <c r="J63" t="s">
        <v>88</v>
      </c>
      <c r="K63" s="24"/>
      <c r="L63" s="24"/>
      <c r="M63" s="24"/>
      <c r="N63" s="24"/>
      <c r="O63" s="24"/>
      <c r="P63" s="24"/>
      <c r="Q63" s="24"/>
      <c r="R63" s="24"/>
      <c r="S63" s="24"/>
      <c r="T63" s="86"/>
      <c r="U63" s="65"/>
      <c r="V63" s="63"/>
      <c r="W63" s="1"/>
      <c r="X63" s="196"/>
      <c r="Y63" s="1"/>
      <c r="Z63" s="1"/>
      <c r="AA63"/>
      <c r="AB63" s="1"/>
      <c r="AC63" s="1"/>
      <c r="AD63"/>
      <c r="AE63"/>
    </row>
    <row r="64" spans="1:31" s="62" customFormat="1" x14ac:dyDescent="0.25">
      <c r="A64" s="238"/>
      <c r="B64" s="230"/>
      <c r="C6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86"/>
      <c r="U64" s="65"/>
      <c r="V64" s="63"/>
      <c r="W64" s="1"/>
      <c r="X64" s="196"/>
      <c r="Y64" s="1"/>
      <c r="Z64" s="1"/>
      <c r="AA64"/>
      <c r="AB64" s="1"/>
      <c r="AC64" s="1"/>
      <c r="AD64"/>
      <c r="AE64"/>
    </row>
    <row r="65" spans="1:31" s="31" customFormat="1" x14ac:dyDescent="0.25">
      <c r="A65" s="238"/>
      <c r="B65" s="230"/>
      <c r="C65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86"/>
      <c r="U65" s="65"/>
      <c r="V65" s="63"/>
      <c r="W65" s="1"/>
      <c r="X65" s="196"/>
      <c r="Y65" s="1"/>
      <c r="Z65" s="1"/>
      <c r="AA65"/>
      <c r="AB65" s="1"/>
      <c r="AC65" s="1"/>
      <c r="AD65"/>
      <c r="AE65"/>
    </row>
    <row r="66" spans="1:31" s="52" customFormat="1" ht="11.4" customHeight="1" x14ac:dyDescent="0.25">
      <c r="A66" s="239"/>
      <c r="B66" s="16"/>
      <c r="C66" s="11"/>
      <c r="D66" s="80"/>
      <c r="E66" s="80"/>
      <c r="F66" s="80"/>
      <c r="G66" s="80"/>
      <c r="H66" s="80"/>
      <c r="I66" s="22"/>
      <c r="J66" s="80"/>
      <c r="K66" s="80"/>
      <c r="L66" s="80"/>
      <c r="M66" s="80"/>
      <c r="N66" s="22"/>
      <c r="O66" s="22"/>
      <c r="P66" s="22"/>
      <c r="Q66" s="80"/>
      <c r="R66" s="80"/>
      <c r="S66" s="22"/>
      <c r="T66" s="91"/>
      <c r="U66" s="66"/>
      <c r="V66" s="88"/>
      <c r="W66" s="22"/>
      <c r="X66" s="197"/>
      <c r="Y66" s="11"/>
      <c r="Z66" s="11"/>
      <c r="AA66" s="11"/>
      <c r="AB66" s="11"/>
      <c r="AC66" s="11"/>
      <c r="AD66" s="8"/>
      <c r="AE66" s="8"/>
    </row>
    <row r="67" spans="1:31" s="52" customFormat="1" ht="11.4" customHeight="1" x14ac:dyDescent="0.25">
      <c r="A67" s="239"/>
      <c r="B67" s="16"/>
      <c r="C67" s="11"/>
      <c r="D67" s="80"/>
      <c r="E67" s="80"/>
      <c r="F67" s="80"/>
      <c r="G67" s="80"/>
      <c r="H67" s="80"/>
      <c r="I67" s="22"/>
      <c r="J67" s="80"/>
      <c r="K67" s="80"/>
      <c r="L67" s="80"/>
      <c r="M67" s="80"/>
      <c r="N67" s="22"/>
      <c r="O67" s="22"/>
      <c r="P67" s="22"/>
      <c r="Q67" s="80"/>
      <c r="R67" s="80"/>
      <c r="S67" s="22"/>
      <c r="T67" s="91"/>
      <c r="U67" s="66"/>
      <c r="V67" s="88"/>
      <c r="W67" s="22"/>
      <c r="X67" s="197"/>
      <c r="Y67" s="11"/>
      <c r="Z67" s="11"/>
      <c r="AA67" s="11"/>
      <c r="AB67" s="11"/>
      <c r="AC67" s="11"/>
      <c r="AD67" s="8"/>
      <c r="AE67" s="8"/>
    </row>
    <row r="68" spans="1:31" s="52" customFormat="1" ht="11.4" customHeight="1" x14ac:dyDescent="0.25">
      <c r="A68" s="239"/>
      <c r="B68" s="16"/>
      <c r="C68" s="11"/>
      <c r="D68" s="80"/>
      <c r="E68" s="80"/>
      <c r="F68" s="80"/>
      <c r="G68" s="80"/>
      <c r="H68" s="80"/>
      <c r="I68" s="22"/>
      <c r="J68" s="80"/>
      <c r="K68" s="80"/>
      <c r="L68" s="80"/>
      <c r="M68" s="80"/>
      <c r="N68" s="22"/>
      <c r="O68" s="22"/>
      <c r="P68" s="22"/>
      <c r="Q68" s="80"/>
      <c r="R68" s="80"/>
      <c r="S68" s="22"/>
      <c r="T68" s="91"/>
      <c r="U68" s="66"/>
      <c r="V68" s="88"/>
      <c r="W68" s="22"/>
      <c r="X68" s="197"/>
      <c r="Y68" s="11"/>
      <c r="Z68" s="11"/>
      <c r="AA68" s="11"/>
      <c r="AB68" s="11"/>
      <c r="AC68" s="11"/>
      <c r="AD68" s="8"/>
      <c r="AE68" s="8"/>
    </row>
    <row r="69" spans="1:31" s="52" customFormat="1" ht="11.4" customHeight="1" x14ac:dyDescent="0.25">
      <c r="A69" s="239"/>
      <c r="B69" s="16"/>
      <c r="C69" s="11"/>
      <c r="D69" s="80"/>
      <c r="E69" s="80"/>
      <c r="F69" s="80"/>
      <c r="G69" s="80"/>
      <c r="H69" s="80"/>
      <c r="I69" s="22"/>
      <c r="J69" s="80"/>
      <c r="K69" s="80"/>
      <c r="L69" s="80"/>
      <c r="M69" s="80"/>
      <c r="N69" s="22"/>
      <c r="O69" s="22"/>
      <c r="P69" s="22"/>
      <c r="Q69" s="80"/>
      <c r="R69" s="80"/>
      <c r="S69" s="22"/>
      <c r="T69" s="91"/>
      <c r="U69" s="66"/>
      <c r="V69" s="88"/>
      <c r="W69" s="22"/>
      <c r="X69" s="197"/>
      <c r="Y69" s="11"/>
      <c r="Z69" s="11"/>
      <c r="AA69" s="11"/>
      <c r="AB69" s="11"/>
      <c r="AC69" s="11"/>
      <c r="AD69" s="8"/>
      <c r="AE69" s="8"/>
    </row>
    <row r="70" spans="1:31" s="52" customFormat="1" ht="11.4" customHeight="1" x14ac:dyDescent="0.25">
      <c r="A70" s="239"/>
      <c r="B70" s="16"/>
      <c r="C70" s="11"/>
      <c r="D70" s="80"/>
      <c r="E70" s="80"/>
      <c r="F70" s="80"/>
      <c r="G70" s="80"/>
      <c r="H70" s="80"/>
      <c r="I70" s="22"/>
      <c r="J70" s="80"/>
      <c r="K70" s="80"/>
      <c r="L70" s="80"/>
      <c r="M70" s="80"/>
      <c r="N70" s="22"/>
      <c r="O70" s="22"/>
      <c r="P70" s="22"/>
      <c r="Q70" s="80"/>
      <c r="R70" s="80"/>
      <c r="S70" s="22"/>
      <c r="T70" s="91"/>
      <c r="U70" s="66"/>
      <c r="V70" s="88"/>
      <c r="W70" s="22"/>
      <c r="X70" s="197"/>
      <c r="Y70" s="11"/>
      <c r="Z70" s="11"/>
      <c r="AA70" s="11"/>
      <c r="AB70" s="11"/>
      <c r="AC70" s="11"/>
      <c r="AD70" s="8"/>
      <c r="AE70" s="8"/>
    </row>
    <row r="71" spans="1:31" s="52" customFormat="1" ht="11.4" customHeight="1" x14ac:dyDescent="0.25">
      <c r="A71" s="239"/>
      <c r="B71" s="16"/>
      <c r="C71" s="11"/>
      <c r="D71" s="80"/>
      <c r="E71" s="80"/>
      <c r="F71" s="80"/>
      <c r="G71" s="80"/>
      <c r="H71" s="80"/>
      <c r="I71" s="22"/>
      <c r="J71" s="80"/>
      <c r="K71" s="80"/>
      <c r="L71" s="80"/>
      <c r="M71" s="80"/>
      <c r="N71" s="22"/>
      <c r="O71" s="22"/>
      <c r="P71" s="22"/>
      <c r="Q71" s="80"/>
      <c r="R71" s="80"/>
      <c r="S71" s="22"/>
      <c r="T71" s="91"/>
      <c r="U71" s="66"/>
      <c r="V71" s="88"/>
      <c r="W71" s="22"/>
      <c r="X71" s="197"/>
      <c r="Y71" s="11"/>
      <c r="Z71" s="11"/>
      <c r="AA71" s="11"/>
      <c r="AB71" s="11"/>
      <c r="AC71" s="11"/>
      <c r="AD71" s="8"/>
      <c r="AE71" s="8"/>
    </row>
    <row r="72" spans="1:31" s="52" customFormat="1" ht="11.4" customHeight="1" x14ac:dyDescent="0.25">
      <c r="A72" s="239"/>
      <c r="B72" s="16"/>
      <c r="C72" s="11"/>
      <c r="D72" s="80"/>
      <c r="E72" s="80"/>
      <c r="F72" s="80"/>
      <c r="G72" s="80"/>
      <c r="H72" s="80"/>
      <c r="I72" s="22"/>
      <c r="J72" s="80"/>
      <c r="K72" s="80"/>
      <c r="L72" s="80"/>
      <c r="M72" s="80"/>
      <c r="N72" s="22"/>
      <c r="O72" s="22"/>
      <c r="P72" s="22"/>
      <c r="Q72" s="80"/>
      <c r="R72" s="80"/>
      <c r="S72" s="22"/>
      <c r="T72" s="91"/>
      <c r="U72" s="66"/>
      <c r="V72" s="88"/>
      <c r="W72" s="22"/>
      <c r="X72" s="197"/>
      <c r="Y72" s="11"/>
      <c r="Z72" s="11"/>
      <c r="AA72" s="11"/>
      <c r="AB72" s="11"/>
      <c r="AC72" s="11"/>
      <c r="AD72" s="8"/>
      <c r="AE72" s="8"/>
    </row>
    <row r="73" spans="1:31" s="52" customFormat="1" ht="11.4" customHeight="1" x14ac:dyDescent="0.25">
      <c r="A73" s="239"/>
      <c r="B73" s="16"/>
      <c r="C73" s="11"/>
      <c r="D73" s="80"/>
      <c r="E73" s="80"/>
      <c r="F73" s="80"/>
      <c r="G73" s="80"/>
      <c r="H73" s="80"/>
      <c r="I73" s="22"/>
      <c r="J73" s="80"/>
      <c r="K73" s="80"/>
      <c r="L73" s="80"/>
      <c r="M73" s="80"/>
      <c r="N73" s="22"/>
      <c r="O73" s="22"/>
      <c r="P73" s="22"/>
      <c r="Q73" s="80"/>
      <c r="R73" s="80"/>
      <c r="S73" s="22"/>
      <c r="T73" s="91"/>
      <c r="U73" s="66"/>
      <c r="V73" s="88"/>
      <c r="W73" s="22"/>
      <c r="X73" s="197"/>
      <c r="Y73" s="11"/>
      <c r="Z73" s="11"/>
      <c r="AA73" s="11"/>
      <c r="AB73" s="11"/>
      <c r="AC73" s="11"/>
      <c r="AD73" s="8"/>
      <c r="AE73" s="8"/>
    </row>
    <row r="74" spans="1:31" s="52" customFormat="1" ht="11.4" customHeight="1" x14ac:dyDescent="0.25">
      <c r="A74" s="239"/>
      <c r="B74" s="16"/>
      <c r="C74" s="11"/>
      <c r="D74" s="80"/>
      <c r="E74" s="80"/>
      <c r="F74" s="80"/>
      <c r="G74" s="80"/>
      <c r="H74" s="80"/>
      <c r="I74" s="22"/>
      <c r="J74" s="80"/>
      <c r="K74" s="80"/>
      <c r="L74" s="80"/>
      <c r="M74" s="80"/>
      <c r="N74" s="22"/>
      <c r="O74" s="22"/>
      <c r="P74" s="22"/>
      <c r="Q74" s="80"/>
      <c r="R74" s="80"/>
      <c r="S74" s="22"/>
      <c r="T74" s="91"/>
      <c r="U74" s="66"/>
      <c r="V74" s="88"/>
      <c r="W74" s="22"/>
      <c r="X74" s="197"/>
      <c r="Y74" s="11"/>
      <c r="Z74" s="11"/>
      <c r="AA74" s="11"/>
      <c r="AB74" s="11"/>
      <c r="AC74" s="11"/>
      <c r="AD74" s="8"/>
      <c r="AE74" s="8"/>
    </row>
    <row r="75" spans="1:31" s="52" customFormat="1" ht="11.4" customHeight="1" x14ac:dyDescent="0.25">
      <c r="A75" s="239"/>
      <c r="B75" s="16"/>
      <c r="C75" s="11"/>
      <c r="D75" s="80"/>
      <c r="E75" s="80"/>
      <c r="F75" s="80"/>
      <c r="G75" s="80"/>
      <c r="H75" s="80"/>
      <c r="I75" s="22"/>
      <c r="J75" s="80"/>
      <c r="K75" s="80"/>
      <c r="L75" s="80"/>
      <c r="M75" s="80"/>
      <c r="N75" s="22"/>
      <c r="O75" s="22"/>
      <c r="P75" s="22"/>
      <c r="Q75" s="80"/>
      <c r="R75" s="80"/>
      <c r="S75" s="22"/>
      <c r="T75" s="91"/>
      <c r="U75" s="66"/>
      <c r="V75" s="88"/>
      <c r="W75" s="22"/>
      <c r="X75" s="197"/>
      <c r="Y75" s="11"/>
      <c r="Z75" s="11"/>
      <c r="AA75" s="11"/>
      <c r="AB75" s="11"/>
      <c r="AC75" s="11"/>
      <c r="AD75" s="8"/>
      <c r="AE75" s="8"/>
    </row>
    <row r="76" spans="1:31" s="52" customFormat="1" ht="11.4" customHeight="1" x14ac:dyDescent="0.25">
      <c r="A76" s="239"/>
      <c r="B76" s="16"/>
      <c r="C76" s="11"/>
      <c r="D76" s="80"/>
      <c r="E76" s="80"/>
      <c r="F76" s="80"/>
      <c r="G76" s="80"/>
      <c r="H76" s="80"/>
      <c r="I76" s="22"/>
      <c r="J76" s="80"/>
      <c r="K76" s="80"/>
      <c r="L76" s="80"/>
      <c r="M76" s="80"/>
      <c r="N76" s="22"/>
      <c r="O76" s="22"/>
      <c r="P76" s="22"/>
      <c r="Q76" s="80"/>
      <c r="R76" s="80"/>
      <c r="S76" s="22"/>
      <c r="T76" s="91"/>
      <c r="U76" s="66"/>
      <c r="V76" s="88"/>
      <c r="W76" s="22"/>
      <c r="X76" s="197"/>
      <c r="Y76" s="11"/>
      <c r="Z76" s="11"/>
      <c r="AA76" s="11"/>
      <c r="AB76" s="11"/>
      <c r="AC76" s="11"/>
      <c r="AD76" s="8"/>
      <c r="AE76" s="8"/>
    </row>
    <row r="77" spans="1:31" s="52" customFormat="1" ht="11.4" customHeight="1" x14ac:dyDescent="0.25">
      <c r="A77" s="239"/>
      <c r="B77" s="16"/>
      <c r="C77" s="11"/>
      <c r="D77" s="80"/>
      <c r="E77" s="80"/>
      <c r="F77" s="80"/>
      <c r="G77" s="80"/>
      <c r="H77" s="80"/>
      <c r="I77" s="22"/>
      <c r="J77" s="80"/>
      <c r="K77" s="80"/>
      <c r="L77" s="80"/>
      <c r="M77" s="80"/>
      <c r="N77" s="22"/>
      <c r="O77" s="22"/>
      <c r="P77" s="22"/>
      <c r="Q77" s="80"/>
      <c r="R77" s="80"/>
      <c r="S77" s="22"/>
      <c r="T77" s="91"/>
      <c r="U77" s="66"/>
      <c r="V77" s="88"/>
      <c r="W77" s="22"/>
      <c r="X77" s="197"/>
      <c r="Y77" s="11"/>
      <c r="Z77" s="11"/>
      <c r="AA77" s="11"/>
      <c r="AB77" s="11"/>
      <c r="AC77" s="11"/>
      <c r="AD77" s="8"/>
      <c r="AE77" s="8"/>
    </row>
    <row r="78" spans="1:31" s="52" customFormat="1" ht="11.4" customHeight="1" x14ac:dyDescent="0.25">
      <c r="A78" s="239"/>
      <c r="B78" s="16"/>
      <c r="C78" s="11"/>
      <c r="D78" s="80"/>
      <c r="E78" s="80"/>
      <c r="F78" s="80"/>
      <c r="G78" s="80"/>
      <c r="H78" s="80"/>
      <c r="I78" s="22"/>
      <c r="J78" s="80"/>
      <c r="K78" s="80"/>
      <c r="L78" s="80"/>
      <c r="M78" s="80"/>
      <c r="N78" s="22"/>
      <c r="O78" s="22"/>
      <c r="P78" s="22"/>
      <c r="Q78" s="80"/>
      <c r="R78" s="80"/>
      <c r="S78" s="22"/>
      <c r="T78" s="91"/>
      <c r="U78" s="66"/>
      <c r="V78" s="88"/>
      <c r="W78" s="22"/>
      <c r="X78" s="197"/>
      <c r="Y78" s="11"/>
      <c r="Z78" s="11"/>
      <c r="AA78" s="11"/>
      <c r="AB78" s="11"/>
      <c r="AC78" s="11"/>
      <c r="AD78" s="8"/>
      <c r="AE78" s="8"/>
    </row>
    <row r="79" spans="1:31" s="52" customFormat="1" ht="11.4" customHeight="1" x14ac:dyDescent="0.25">
      <c r="A79" s="239"/>
      <c r="B79" s="16"/>
      <c r="C79" s="11"/>
      <c r="D79" s="80"/>
      <c r="E79" s="80"/>
      <c r="F79" s="80"/>
      <c r="G79" s="80"/>
      <c r="H79" s="80"/>
      <c r="I79" s="22"/>
      <c r="J79" s="80"/>
      <c r="K79" s="80"/>
      <c r="L79" s="80"/>
      <c r="M79" s="80"/>
      <c r="N79" s="22"/>
      <c r="O79" s="22"/>
      <c r="P79" s="22"/>
      <c r="Q79" s="80"/>
      <c r="R79" s="80"/>
      <c r="S79" s="22"/>
      <c r="T79" s="91"/>
      <c r="U79" s="66"/>
      <c r="V79" s="88"/>
      <c r="W79" s="22"/>
      <c r="X79" s="197"/>
      <c r="Y79" s="11"/>
      <c r="Z79" s="11"/>
      <c r="AA79" s="11"/>
      <c r="AB79" s="11"/>
      <c r="AC79" s="11"/>
      <c r="AD79" s="8"/>
      <c r="AE79" s="8"/>
    </row>
    <row r="80" spans="1:31" s="52" customFormat="1" ht="11.4" customHeight="1" x14ac:dyDescent="0.25">
      <c r="A80" s="239"/>
      <c r="B80" s="16"/>
      <c r="C80" s="11"/>
      <c r="D80" s="80"/>
      <c r="E80" s="80"/>
      <c r="F80" s="80"/>
      <c r="G80" s="80"/>
      <c r="H80" s="80"/>
      <c r="I80" s="22"/>
      <c r="J80" s="80"/>
      <c r="K80" s="80"/>
      <c r="L80" s="80"/>
      <c r="M80" s="80"/>
      <c r="N80" s="22"/>
      <c r="O80" s="22"/>
      <c r="P80" s="22"/>
      <c r="Q80" s="80"/>
      <c r="R80" s="80"/>
      <c r="S80" s="22"/>
      <c r="T80" s="91"/>
      <c r="U80" s="66"/>
      <c r="V80" s="88"/>
      <c r="W80" s="22"/>
      <c r="X80" s="197"/>
      <c r="Y80" s="11"/>
      <c r="Z80" s="11"/>
      <c r="AA80" s="11"/>
      <c r="AB80" s="11"/>
      <c r="AC80" s="11"/>
      <c r="AD80" s="8"/>
      <c r="AE80" s="8"/>
    </row>
    <row r="81" spans="1:31" s="52" customFormat="1" ht="11.4" customHeight="1" x14ac:dyDescent="0.25">
      <c r="A81" s="239"/>
      <c r="B81" s="16"/>
      <c r="C81" s="11"/>
      <c r="D81" s="80"/>
      <c r="E81" s="80"/>
      <c r="F81" s="80"/>
      <c r="G81" s="80"/>
      <c r="H81" s="80"/>
      <c r="I81" s="22"/>
      <c r="J81" s="80"/>
      <c r="K81" s="80"/>
      <c r="L81" s="80"/>
      <c r="M81" s="80"/>
      <c r="N81" s="22"/>
      <c r="O81" s="22"/>
      <c r="P81" s="22"/>
      <c r="Q81" s="80"/>
      <c r="R81" s="80"/>
      <c r="S81" s="22"/>
      <c r="T81" s="91"/>
      <c r="U81" s="66"/>
      <c r="V81" s="88"/>
      <c r="W81" s="22"/>
      <c r="X81" s="197"/>
      <c r="Y81" s="11"/>
      <c r="Z81" s="11"/>
      <c r="AA81" s="11"/>
      <c r="AB81" s="11"/>
      <c r="AC81" s="11"/>
      <c r="AD81" s="8"/>
      <c r="AE81" s="8"/>
    </row>
    <row r="82" spans="1:31" s="52" customFormat="1" ht="11.4" customHeight="1" x14ac:dyDescent="0.25">
      <c r="A82" s="239"/>
      <c r="B82" s="16"/>
      <c r="C82" s="11"/>
      <c r="D82" s="80"/>
      <c r="E82" s="80"/>
      <c r="F82" s="80"/>
      <c r="G82" s="80"/>
      <c r="H82" s="80"/>
      <c r="I82" s="22"/>
      <c r="J82" s="80"/>
      <c r="K82" s="80"/>
      <c r="L82" s="80"/>
      <c r="M82" s="80"/>
      <c r="N82" s="22"/>
      <c r="O82" s="22"/>
      <c r="P82" s="22"/>
      <c r="Q82" s="80"/>
      <c r="R82" s="80"/>
      <c r="S82" s="22"/>
      <c r="T82" s="91"/>
      <c r="U82" s="66"/>
      <c r="V82" s="88"/>
      <c r="W82" s="22"/>
      <c r="X82" s="197"/>
      <c r="Y82" s="11"/>
      <c r="Z82" s="11"/>
      <c r="AA82" s="11"/>
      <c r="AB82" s="11"/>
      <c r="AC82" s="11"/>
      <c r="AD82" s="8"/>
      <c r="AE82" s="8"/>
    </row>
    <row r="83" spans="1:31" customFormat="1" x14ac:dyDescent="0.25">
      <c r="A83" s="238"/>
      <c r="B83" s="62"/>
      <c r="E83" s="96"/>
      <c r="F83" s="97"/>
      <c r="T83" s="31"/>
      <c r="U83" s="285"/>
      <c r="V83" s="61"/>
      <c r="X83" s="97"/>
    </row>
    <row r="84" spans="1:31" x14ac:dyDescent="0.25">
      <c r="B84" s="224"/>
      <c r="C84" s="99"/>
      <c r="D84" s="99"/>
      <c r="H84" s="18"/>
      <c r="I84" s="24"/>
      <c r="J84" s="24"/>
      <c r="K84" s="24"/>
      <c r="L84" s="20"/>
      <c r="T84" s="86"/>
      <c r="U84" s="65"/>
    </row>
    <row r="85" spans="1:31" customFormat="1" x14ac:dyDescent="0.25">
      <c r="A85" s="238"/>
      <c r="B85" s="62"/>
      <c r="T85" s="31"/>
      <c r="U85" s="285"/>
      <c r="V85" s="61"/>
      <c r="X85" s="97"/>
    </row>
    <row r="86" spans="1:31" customFormat="1" x14ac:dyDescent="0.25">
      <c r="A86" s="238"/>
      <c r="B86" s="62"/>
      <c r="E86" s="24"/>
      <c r="T86" s="31"/>
      <c r="U86" s="285"/>
      <c r="V86" s="61"/>
      <c r="X86" s="97"/>
    </row>
    <row r="87" spans="1:31" customFormat="1" ht="15.6" x14ac:dyDescent="0.3">
      <c r="A87" s="238"/>
      <c r="B87" s="231"/>
      <c r="T87" s="31"/>
      <c r="U87" s="285"/>
      <c r="V87" s="61"/>
      <c r="X87" s="97"/>
    </row>
    <row r="88" spans="1:31" customFormat="1" x14ac:dyDescent="0.25">
      <c r="A88" s="238"/>
      <c r="B88" s="62"/>
      <c r="T88" s="31"/>
      <c r="U88" s="285"/>
      <c r="V88" s="61"/>
      <c r="X88" s="97"/>
    </row>
    <row r="89" spans="1:31" x14ac:dyDescent="0.25">
      <c r="A89" s="240"/>
      <c r="C89" s="90"/>
      <c r="D89" s="31"/>
      <c r="E89" s="20"/>
      <c r="J89" s="24"/>
      <c r="U89" s="220"/>
    </row>
    <row r="90" spans="1:31" x14ac:dyDescent="0.25">
      <c r="C90" s="90"/>
      <c r="D90" s="31"/>
      <c r="E90" s="20"/>
      <c r="J90" s="24"/>
      <c r="U90" s="220"/>
    </row>
    <row r="91" spans="1:31" x14ac:dyDescent="0.25">
      <c r="C91" s="90"/>
      <c r="D91" s="31"/>
      <c r="E91" s="20"/>
      <c r="J91" s="24"/>
      <c r="U91" s="220"/>
    </row>
    <row r="92" spans="1:31" s="4" customFormat="1" ht="14.1" customHeight="1" x14ac:dyDescent="0.25">
      <c r="A92" s="15"/>
      <c r="B92" s="43"/>
      <c r="D92" s="23"/>
      <c r="E92" s="23"/>
      <c r="F92" s="23"/>
      <c r="G92" s="82"/>
      <c r="H92" s="82"/>
      <c r="I92" s="184"/>
      <c r="J92" s="185"/>
      <c r="K92" s="186"/>
      <c r="L92" s="82"/>
      <c r="M92" s="82"/>
      <c r="N92" s="82"/>
      <c r="O92" s="82"/>
      <c r="P92" s="82"/>
      <c r="Q92" s="82"/>
      <c r="R92" s="82"/>
      <c r="S92" s="82"/>
      <c r="T92" s="46"/>
      <c r="U92" s="183"/>
      <c r="V92" s="53"/>
      <c r="W92" s="83"/>
      <c r="X92" s="192"/>
    </row>
    <row r="93" spans="1:31" x14ac:dyDescent="0.25">
      <c r="J93" s="24"/>
      <c r="U93" s="220"/>
    </row>
    <row r="94" spans="1:31" x14ac:dyDescent="0.25">
      <c r="J94" s="24"/>
      <c r="U94" s="220"/>
    </row>
    <row r="95" spans="1:31" x14ac:dyDescent="0.25">
      <c r="J95" s="24"/>
      <c r="U95" s="220"/>
    </row>
    <row r="96" spans="1:31" x14ac:dyDescent="0.25">
      <c r="J96" s="24"/>
      <c r="U96" s="220"/>
    </row>
    <row r="97" spans="10:21" x14ac:dyDescent="0.25">
      <c r="J97" s="24"/>
      <c r="U97" s="220"/>
    </row>
    <row r="98" spans="10:21" x14ac:dyDescent="0.25">
      <c r="J98" s="24"/>
      <c r="U98" s="220"/>
    </row>
    <row r="99" spans="10:21" x14ac:dyDescent="0.25">
      <c r="J99" s="24"/>
      <c r="U99" s="220"/>
    </row>
    <row r="100" spans="10:21" x14ac:dyDescent="0.25">
      <c r="J100" s="24"/>
      <c r="U100" s="220"/>
    </row>
    <row r="101" spans="10:21" x14ac:dyDescent="0.25">
      <c r="J101" s="24"/>
      <c r="U101" s="220"/>
    </row>
    <row r="102" spans="10:21" x14ac:dyDescent="0.25">
      <c r="J102" s="24"/>
      <c r="U102" s="220"/>
    </row>
    <row r="103" spans="10:21" x14ac:dyDescent="0.25">
      <c r="J103" s="24"/>
      <c r="U103" s="220"/>
    </row>
    <row r="104" spans="10:21" x14ac:dyDescent="0.25">
      <c r="J104" s="24"/>
      <c r="U104" s="220"/>
    </row>
    <row r="105" spans="10:21" x14ac:dyDescent="0.25">
      <c r="J105" s="24"/>
      <c r="U105" s="220"/>
    </row>
    <row r="106" spans="10:21" x14ac:dyDescent="0.25">
      <c r="J106" s="24"/>
      <c r="U106" s="220"/>
    </row>
    <row r="107" spans="10:21" x14ac:dyDescent="0.25">
      <c r="J107" s="24"/>
      <c r="U107" s="220"/>
    </row>
    <row r="108" spans="10:21" x14ac:dyDescent="0.25">
      <c r="J108" s="24"/>
      <c r="U108" s="220"/>
    </row>
    <row r="109" spans="10:21" x14ac:dyDescent="0.25">
      <c r="J109" s="24"/>
      <c r="U109" s="220"/>
    </row>
    <row r="110" spans="10:21" x14ac:dyDescent="0.25">
      <c r="J110" s="24"/>
      <c r="U110" s="220"/>
    </row>
    <row r="111" spans="10:21" x14ac:dyDescent="0.25">
      <c r="J111" s="24"/>
      <c r="U111" s="220"/>
    </row>
    <row r="112" spans="10:21" x14ac:dyDescent="0.25">
      <c r="J112" s="24"/>
      <c r="U112" s="220"/>
    </row>
    <row r="113" spans="10:21" x14ac:dyDescent="0.25">
      <c r="J113" s="24"/>
      <c r="U113" s="220"/>
    </row>
    <row r="114" spans="10:21" x14ac:dyDescent="0.25">
      <c r="J114" s="24"/>
      <c r="U114" s="220"/>
    </row>
    <row r="115" spans="10:21" x14ac:dyDescent="0.25">
      <c r="J115" s="24"/>
      <c r="U115" s="220"/>
    </row>
    <row r="116" spans="10:21" x14ac:dyDescent="0.25">
      <c r="J116" s="24"/>
      <c r="U116" s="220"/>
    </row>
    <row r="117" spans="10:21" x14ac:dyDescent="0.25">
      <c r="J117" s="24"/>
      <c r="U117" s="220"/>
    </row>
    <row r="118" spans="10:21" x14ac:dyDescent="0.25">
      <c r="J118" s="24"/>
      <c r="U118" s="220"/>
    </row>
    <row r="119" spans="10:21" x14ac:dyDescent="0.25">
      <c r="J119" s="24"/>
      <c r="U119" s="220"/>
    </row>
    <row r="120" spans="10:21" x14ac:dyDescent="0.25">
      <c r="J120" s="24"/>
      <c r="U120" s="220"/>
    </row>
    <row r="121" spans="10:21" x14ac:dyDescent="0.25">
      <c r="J121" s="24"/>
      <c r="U121" s="220"/>
    </row>
    <row r="122" spans="10:21" x14ac:dyDescent="0.25">
      <c r="J122" s="24"/>
      <c r="U122" s="220"/>
    </row>
    <row r="123" spans="10:21" x14ac:dyDescent="0.25">
      <c r="J123" s="24"/>
      <c r="U123" s="220"/>
    </row>
    <row r="124" spans="10:21" x14ac:dyDescent="0.25">
      <c r="J124" s="24"/>
      <c r="U124" s="220"/>
    </row>
    <row r="125" spans="10:21" x14ac:dyDescent="0.25">
      <c r="J125" s="24"/>
      <c r="U125" s="220"/>
    </row>
    <row r="126" spans="10:21" x14ac:dyDescent="0.25">
      <c r="J126" s="24"/>
      <c r="U126" s="220"/>
    </row>
    <row r="127" spans="10:21" x14ac:dyDescent="0.25">
      <c r="J127" s="24"/>
      <c r="U127" s="220"/>
    </row>
    <row r="128" spans="10:21" x14ac:dyDescent="0.25">
      <c r="J128" s="24"/>
      <c r="U128" s="220"/>
    </row>
    <row r="129" spans="10:21" x14ac:dyDescent="0.25">
      <c r="J129" s="24"/>
      <c r="U129" s="220"/>
    </row>
    <row r="130" spans="10:21" x14ac:dyDescent="0.25">
      <c r="J130" s="24"/>
      <c r="U130" s="220"/>
    </row>
    <row r="131" spans="10:21" x14ac:dyDescent="0.25">
      <c r="J131" s="24"/>
      <c r="U131" s="220"/>
    </row>
    <row r="132" spans="10:21" x14ac:dyDescent="0.25">
      <c r="J132" s="24"/>
      <c r="U132" s="220"/>
    </row>
    <row r="133" spans="10:21" x14ac:dyDescent="0.25">
      <c r="J133" s="24"/>
      <c r="U133" s="220"/>
    </row>
    <row r="134" spans="10:21" x14ac:dyDescent="0.25">
      <c r="J134" s="24"/>
      <c r="U134" s="220"/>
    </row>
    <row r="135" spans="10:21" x14ac:dyDescent="0.25">
      <c r="J135" s="24"/>
      <c r="U135" s="220"/>
    </row>
    <row r="136" spans="10:21" x14ac:dyDescent="0.25">
      <c r="J136" s="24"/>
      <c r="U136" s="220"/>
    </row>
    <row r="137" spans="10:21" x14ac:dyDescent="0.25">
      <c r="J137" s="24"/>
      <c r="U137" s="220"/>
    </row>
    <row r="138" spans="10:21" x14ac:dyDescent="0.25">
      <c r="J138" s="24"/>
      <c r="U138" s="220"/>
    </row>
    <row r="139" spans="10:21" x14ac:dyDescent="0.25">
      <c r="J139" s="24"/>
      <c r="U139" s="220"/>
    </row>
    <row r="140" spans="10:21" x14ac:dyDescent="0.25">
      <c r="J140" s="24"/>
      <c r="U140" s="220"/>
    </row>
    <row r="141" spans="10:21" x14ac:dyDescent="0.25">
      <c r="J141" s="24"/>
      <c r="U141" s="220"/>
    </row>
    <row r="142" spans="10:21" x14ac:dyDescent="0.25">
      <c r="J142" s="24"/>
      <c r="U142" s="220"/>
    </row>
    <row r="143" spans="10:21" x14ac:dyDescent="0.25">
      <c r="J143" s="24"/>
      <c r="U143" s="220"/>
    </row>
    <row r="144" spans="10:21" x14ac:dyDescent="0.25">
      <c r="J144" s="24"/>
      <c r="U144" s="220"/>
    </row>
    <row r="145" spans="10:21" x14ac:dyDescent="0.25">
      <c r="J145" s="24"/>
      <c r="U145" s="220"/>
    </row>
    <row r="146" spans="10:21" x14ac:dyDescent="0.25">
      <c r="J146" s="24"/>
      <c r="U146" s="220"/>
    </row>
    <row r="147" spans="10:21" x14ac:dyDescent="0.25">
      <c r="J147" s="24"/>
      <c r="U147" s="220"/>
    </row>
    <row r="148" spans="10:21" x14ac:dyDescent="0.25">
      <c r="J148" s="24"/>
      <c r="U148" s="220"/>
    </row>
    <row r="149" spans="10:21" x14ac:dyDescent="0.25">
      <c r="J149" s="24"/>
      <c r="U149" s="220"/>
    </row>
    <row r="150" spans="10:21" x14ac:dyDescent="0.25">
      <c r="J150" s="24"/>
      <c r="U150" s="220"/>
    </row>
    <row r="151" spans="10:21" x14ac:dyDescent="0.25">
      <c r="J151" s="24"/>
      <c r="U151" s="220"/>
    </row>
    <row r="152" spans="10:21" x14ac:dyDescent="0.25">
      <c r="J152" s="24"/>
      <c r="U152" s="220"/>
    </row>
    <row r="153" spans="10:21" x14ac:dyDescent="0.25">
      <c r="J153" s="24"/>
      <c r="U153" s="220"/>
    </row>
    <row r="154" spans="10:21" x14ac:dyDescent="0.25">
      <c r="J154" s="24"/>
      <c r="U154" s="220"/>
    </row>
    <row r="155" spans="10:21" x14ac:dyDescent="0.25">
      <c r="J155" s="24"/>
      <c r="U155" s="220"/>
    </row>
    <row r="156" spans="10:21" x14ac:dyDescent="0.25">
      <c r="J156" s="24"/>
      <c r="U156" s="220"/>
    </row>
    <row r="157" spans="10:21" x14ac:dyDescent="0.25">
      <c r="J157" s="24"/>
      <c r="U157" s="220"/>
    </row>
    <row r="158" spans="10:21" x14ac:dyDescent="0.25">
      <c r="J158" s="24"/>
      <c r="U158" s="220"/>
    </row>
    <row r="159" spans="10:21" x14ac:dyDescent="0.25">
      <c r="J159" s="24"/>
      <c r="U159" s="220"/>
    </row>
    <row r="160" spans="10:21" x14ac:dyDescent="0.25">
      <c r="J160" s="24"/>
      <c r="U160" s="220"/>
    </row>
    <row r="161" spans="10:21" x14ac:dyDescent="0.25">
      <c r="J161" s="24"/>
      <c r="U161" s="220"/>
    </row>
    <row r="162" spans="10:21" x14ac:dyDescent="0.25">
      <c r="J162" s="24"/>
      <c r="U162" s="220"/>
    </row>
    <row r="163" spans="10:21" x14ac:dyDescent="0.25">
      <c r="J163" s="24"/>
      <c r="U163" s="220"/>
    </row>
    <row r="164" spans="10:21" x14ac:dyDescent="0.25">
      <c r="J164" s="24"/>
      <c r="U164" s="220"/>
    </row>
    <row r="165" spans="10:21" x14ac:dyDescent="0.25">
      <c r="J165" s="24"/>
      <c r="U165" s="220"/>
    </row>
    <row r="166" spans="10:21" x14ac:dyDescent="0.25">
      <c r="J166" s="24"/>
      <c r="U166" s="220"/>
    </row>
    <row r="167" spans="10:21" x14ac:dyDescent="0.25">
      <c r="U167" s="220"/>
    </row>
    <row r="168" spans="10:21" x14ac:dyDescent="0.25">
      <c r="U168" s="220"/>
    </row>
    <row r="169" spans="10:21" x14ac:dyDescent="0.25">
      <c r="U169" s="220"/>
    </row>
    <row r="170" spans="10:21" x14ac:dyDescent="0.25">
      <c r="U170" s="220"/>
    </row>
    <row r="171" spans="10:21" x14ac:dyDescent="0.25">
      <c r="U171" s="220"/>
    </row>
    <row r="172" spans="10:21" x14ac:dyDescent="0.25">
      <c r="U172" s="220"/>
    </row>
    <row r="173" spans="10:21" x14ac:dyDescent="0.25">
      <c r="U173" s="220"/>
    </row>
    <row r="174" spans="10:21" x14ac:dyDescent="0.25">
      <c r="U174" s="220"/>
    </row>
    <row r="175" spans="10:21" x14ac:dyDescent="0.25">
      <c r="U175" s="220"/>
    </row>
    <row r="176" spans="10:21" x14ac:dyDescent="0.25">
      <c r="U176" s="220"/>
    </row>
    <row r="177" spans="21:21" x14ac:dyDescent="0.25">
      <c r="U177" s="220"/>
    </row>
    <row r="178" spans="21:21" x14ac:dyDescent="0.25">
      <c r="U178" s="220"/>
    </row>
    <row r="179" spans="21:21" x14ac:dyDescent="0.25">
      <c r="U179" s="220"/>
    </row>
    <row r="180" spans="21:21" x14ac:dyDescent="0.25">
      <c r="U180" s="220"/>
    </row>
    <row r="181" spans="21:21" x14ac:dyDescent="0.25">
      <c r="U181" s="220"/>
    </row>
    <row r="182" spans="21:21" x14ac:dyDescent="0.25">
      <c r="U182" s="220"/>
    </row>
    <row r="183" spans="21:21" x14ac:dyDescent="0.25">
      <c r="U183" s="220"/>
    </row>
    <row r="184" spans="21:21" x14ac:dyDescent="0.25">
      <c r="U184" s="220"/>
    </row>
    <row r="185" spans="21:21" x14ac:dyDescent="0.25">
      <c r="U185" s="220"/>
    </row>
    <row r="186" spans="21:21" x14ac:dyDescent="0.25">
      <c r="U186" s="220"/>
    </row>
    <row r="187" spans="21:21" x14ac:dyDescent="0.25">
      <c r="U187" s="220"/>
    </row>
    <row r="188" spans="21:21" x14ac:dyDescent="0.25">
      <c r="U188" s="220"/>
    </row>
    <row r="189" spans="21:21" x14ac:dyDescent="0.25">
      <c r="U189" s="220"/>
    </row>
    <row r="190" spans="21:21" x14ac:dyDescent="0.25">
      <c r="U190" s="220"/>
    </row>
    <row r="191" spans="21:21" x14ac:dyDescent="0.25">
      <c r="U191" s="220"/>
    </row>
    <row r="192" spans="21:21" x14ac:dyDescent="0.25">
      <c r="U192" s="220"/>
    </row>
    <row r="193" spans="21:21" x14ac:dyDescent="0.25">
      <c r="U193" s="220"/>
    </row>
  </sheetData>
  <sortState xmlns:xlrd2="http://schemas.microsoft.com/office/spreadsheetml/2017/richdata2" ref="A9:AE50">
    <sortCondition ref="A9:A50"/>
    <sortCondition ref="C9:C50"/>
  </sortState>
  <mergeCells count="2">
    <mergeCell ref="G2:I2"/>
    <mergeCell ref="K2:R2"/>
  </mergeCells>
  <phoneticPr fontId="4" type="noConversion"/>
  <printOptions horizontalCentered="1" verticalCentered="1"/>
  <pageMargins left="0.3" right="0.3" top="0.4" bottom="0.4" header="0.3" footer="0.3"/>
  <pageSetup paperSize="9" scale="53" orientation="landscape" horizontalDpi="4294967292" verticalDpi="4294967292" r:id="rId1"/>
  <headerFooter scaleWithDoc="0" alignWithMargins="0"/>
  <colBreaks count="1" manualBreakCount="1">
    <brk id="10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2"/>
  <sheetViews>
    <sheetView zoomScale="188" zoomScaleNormal="125" workbookViewId="0">
      <selection activeCell="G15" sqref="G15"/>
    </sheetView>
  </sheetViews>
  <sheetFormatPr defaultColWidth="11.44140625" defaultRowHeight="13.2" x14ac:dyDescent="0.25"/>
  <cols>
    <col min="1" max="1" width="9.6640625" customWidth="1"/>
    <col min="2" max="2" width="38.109375" customWidth="1"/>
    <col min="3" max="3" width="9.44140625" customWidth="1"/>
    <col min="4" max="4" width="10" style="24" customWidth="1"/>
    <col min="5" max="5" width="11.33203125" style="24" customWidth="1"/>
    <col min="8" max="8" width="69.33203125" customWidth="1"/>
  </cols>
  <sheetData>
    <row r="1" spans="1:7" ht="17.399999999999999" x14ac:dyDescent="0.3">
      <c r="A1" s="70" t="s">
        <v>89</v>
      </c>
      <c r="B1" s="25"/>
      <c r="C1" s="25"/>
      <c r="D1" s="71"/>
      <c r="E1" s="72"/>
    </row>
    <row r="2" spans="1:7" x14ac:dyDescent="0.25">
      <c r="A2" s="29"/>
      <c r="B2" s="2"/>
      <c r="C2" s="2"/>
      <c r="D2" s="17"/>
      <c r="E2" s="81"/>
    </row>
    <row r="3" spans="1:7" x14ac:dyDescent="0.25">
      <c r="A3" s="73" t="s">
        <v>90</v>
      </c>
      <c r="B3" s="2"/>
      <c r="C3" s="2"/>
      <c r="D3" s="17"/>
      <c r="E3" s="81"/>
    </row>
    <row r="4" spans="1:7" x14ac:dyDescent="0.25">
      <c r="A4" s="29"/>
      <c r="B4" s="2"/>
      <c r="C4" s="2"/>
      <c r="D4" s="17"/>
      <c r="E4" s="81"/>
    </row>
    <row r="5" spans="1:7" x14ac:dyDescent="0.25">
      <c r="A5" s="73" t="s">
        <v>91</v>
      </c>
      <c r="B5" s="2"/>
      <c r="C5" s="2"/>
      <c r="D5" s="17"/>
      <c r="E5" s="81"/>
    </row>
    <row r="6" spans="1:7" x14ac:dyDescent="0.25">
      <c r="A6" s="29"/>
      <c r="B6" s="4" t="s">
        <v>92</v>
      </c>
      <c r="C6" s="2"/>
      <c r="D6" s="17"/>
      <c r="E6" s="81"/>
      <c r="G6" s="4" t="s">
        <v>92</v>
      </c>
    </row>
    <row r="7" spans="1:7" ht="26.4" x14ac:dyDescent="0.25">
      <c r="A7" s="29"/>
      <c r="B7" s="2"/>
      <c r="C7" s="6" t="s">
        <v>93</v>
      </c>
      <c r="D7" s="68" t="s">
        <v>94</v>
      </c>
      <c r="E7" s="81"/>
    </row>
    <row r="8" spans="1:7" x14ac:dyDescent="0.25">
      <c r="A8" s="29"/>
      <c r="B8" s="3" t="s">
        <v>95</v>
      </c>
      <c r="C8" s="2"/>
      <c r="D8" s="17" t="s">
        <v>96</v>
      </c>
      <c r="E8" s="81"/>
    </row>
    <row r="9" spans="1:7" x14ac:dyDescent="0.25">
      <c r="A9" s="29"/>
      <c r="B9" s="69" t="s">
        <v>97</v>
      </c>
      <c r="C9" s="2">
        <v>2010</v>
      </c>
      <c r="D9" s="17">
        <v>28820</v>
      </c>
      <c r="E9" s="81"/>
    </row>
    <row r="10" spans="1:7" x14ac:dyDescent="0.25">
      <c r="A10" s="29"/>
      <c r="B10" s="69" t="s">
        <v>98</v>
      </c>
      <c r="C10" s="2"/>
      <c r="D10" s="17">
        <v>4521</v>
      </c>
      <c r="E10" s="81"/>
    </row>
    <row r="11" spans="1:7" x14ac:dyDescent="0.25">
      <c r="A11" s="29"/>
      <c r="B11" s="69" t="s">
        <v>99</v>
      </c>
      <c r="C11" s="2">
        <v>2011</v>
      </c>
      <c r="D11" s="17">
        <v>815</v>
      </c>
      <c r="E11" s="81"/>
    </row>
    <row r="12" spans="1:7" x14ac:dyDescent="0.25">
      <c r="A12" s="29"/>
      <c r="B12" s="69" t="s">
        <v>100</v>
      </c>
      <c r="C12" s="2">
        <v>1999</v>
      </c>
      <c r="D12" s="17">
        <v>3102</v>
      </c>
      <c r="E12" s="81"/>
    </row>
    <row r="13" spans="1:7" x14ac:dyDescent="0.25">
      <c r="A13" s="29"/>
      <c r="B13" s="69" t="s">
        <v>101</v>
      </c>
      <c r="C13" s="2"/>
      <c r="D13" s="17">
        <v>1417</v>
      </c>
      <c r="E13" s="81"/>
    </row>
    <row r="14" spans="1:7" x14ac:dyDescent="0.25">
      <c r="A14" s="29"/>
      <c r="B14" s="69" t="s">
        <v>102</v>
      </c>
      <c r="C14" s="2"/>
      <c r="D14" s="17">
        <v>561</v>
      </c>
      <c r="E14" s="81"/>
    </row>
    <row r="15" spans="1:7" x14ac:dyDescent="0.25">
      <c r="A15" s="29"/>
      <c r="B15" s="69" t="s">
        <v>103</v>
      </c>
      <c r="C15" s="2">
        <v>2015</v>
      </c>
      <c r="D15" s="17">
        <v>1011.6</v>
      </c>
      <c r="E15" s="81"/>
    </row>
    <row r="16" spans="1:7" x14ac:dyDescent="0.25">
      <c r="A16" s="29"/>
      <c r="B16" s="87" t="s">
        <v>104</v>
      </c>
      <c r="C16" s="2">
        <v>2019</v>
      </c>
      <c r="D16" s="17">
        <v>316.63</v>
      </c>
      <c r="E16" s="81"/>
    </row>
    <row r="17" spans="1:10" x14ac:dyDescent="0.25">
      <c r="A17" s="29"/>
      <c r="B17" s="87" t="s">
        <v>105</v>
      </c>
      <c r="C17" s="2">
        <v>2019</v>
      </c>
      <c r="D17" s="17">
        <v>45.82</v>
      </c>
      <c r="E17" s="81"/>
    </row>
    <row r="18" spans="1:10" x14ac:dyDescent="0.25">
      <c r="A18" s="29"/>
      <c r="D18"/>
      <c r="E18" s="81"/>
    </row>
    <row r="19" spans="1:10" x14ac:dyDescent="0.25">
      <c r="A19" s="29"/>
      <c r="B19" s="3" t="s">
        <v>106</v>
      </c>
      <c r="C19" s="2"/>
      <c r="D19" s="17"/>
      <c r="E19" s="74">
        <f>SUM(D9:D17)</f>
        <v>40610.049999999996</v>
      </c>
    </row>
    <row r="20" spans="1:10" x14ac:dyDescent="0.25">
      <c r="A20" s="29"/>
      <c r="B20" s="2"/>
      <c r="C20" s="2"/>
      <c r="D20" s="17"/>
      <c r="E20" s="81"/>
    </row>
    <row r="21" spans="1:10" x14ac:dyDescent="0.25">
      <c r="A21" s="73" t="s">
        <v>107</v>
      </c>
      <c r="B21" s="2"/>
      <c r="C21" s="2"/>
      <c r="D21" s="17"/>
      <c r="E21" s="81"/>
    </row>
    <row r="22" spans="1:10" x14ac:dyDescent="0.25">
      <c r="A22" s="29"/>
      <c r="B22" s="2" t="s">
        <v>108</v>
      </c>
      <c r="C22" s="2"/>
      <c r="D22" s="17"/>
      <c r="E22" s="81"/>
    </row>
    <row r="23" spans="1:10" x14ac:dyDescent="0.25">
      <c r="A23" s="29"/>
      <c r="B23" s="2"/>
      <c r="C23" s="2"/>
      <c r="D23" s="17"/>
      <c r="E23" s="81"/>
    </row>
    <row r="24" spans="1:10" x14ac:dyDescent="0.25">
      <c r="A24" s="73" t="s">
        <v>109</v>
      </c>
      <c r="B24" s="2"/>
      <c r="C24" s="2"/>
      <c r="D24" s="17"/>
      <c r="E24" s="81"/>
    </row>
    <row r="25" spans="1:10" x14ac:dyDescent="0.25">
      <c r="A25" s="29"/>
      <c r="B25" s="2" t="s">
        <v>110</v>
      </c>
      <c r="C25" s="2"/>
      <c r="D25" s="17"/>
      <c r="E25" s="81"/>
    </row>
    <row r="26" spans="1:10" x14ac:dyDescent="0.25">
      <c r="A26" s="29"/>
      <c r="B26" s="2"/>
      <c r="C26" s="2"/>
      <c r="D26" s="17"/>
      <c r="E26" s="81"/>
    </row>
    <row r="27" spans="1:10" x14ac:dyDescent="0.25">
      <c r="A27" s="73" t="s">
        <v>111</v>
      </c>
      <c r="B27" s="2"/>
      <c r="C27" s="2"/>
      <c r="D27" s="17"/>
      <c r="E27" s="81"/>
    </row>
    <row r="28" spans="1:10" x14ac:dyDescent="0.25">
      <c r="A28" s="29"/>
      <c r="B28" s="4" t="s">
        <v>112</v>
      </c>
      <c r="C28" s="2"/>
      <c r="D28" s="17">
        <v>0</v>
      </c>
      <c r="E28" s="81"/>
      <c r="H28" s="92" t="s">
        <v>49</v>
      </c>
      <c r="I28" s="4"/>
      <c r="J28" s="21">
        <v>169.44</v>
      </c>
    </row>
    <row r="29" spans="1:10" x14ac:dyDescent="0.25">
      <c r="A29" s="29"/>
      <c r="B29" s="4" t="s">
        <v>113</v>
      </c>
      <c r="C29" s="2"/>
      <c r="D29" s="17" t="e">
        <f>'Cash Book 2022-23'!#REF!</f>
        <v>#REF!</v>
      </c>
      <c r="E29" s="81"/>
    </row>
    <row r="30" spans="1:10" x14ac:dyDescent="0.25">
      <c r="A30" s="29"/>
      <c r="B30" s="2"/>
      <c r="C30" s="2"/>
      <c r="D30" s="17"/>
      <c r="E30" s="81"/>
    </row>
    <row r="31" spans="1:10" x14ac:dyDescent="0.25">
      <c r="A31" s="73" t="s">
        <v>114</v>
      </c>
      <c r="B31" s="2"/>
      <c r="C31" s="2"/>
      <c r="D31" s="17"/>
      <c r="E31" s="81"/>
    </row>
    <row r="32" spans="1:10" x14ac:dyDescent="0.25">
      <c r="A32" s="29"/>
      <c r="B32" s="2" t="s">
        <v>115</v>
      </c>
      <c r="C32" s="2"/>
      <c r="D32" s="17"/>
      <c r="E32" s="81"/>
    </row>
    <row r="33" spans="1:5" x14ac:dyDescent="0.25">
      <c r="A33" s="29"/>
      <c r="B33" s="2"/>
      <c r="C33" s="2"/>
      <c r="D33" s="17"/>
      <c r="E33" s="81"/>
    </row>
    <row r="34" spans="1:5" x14ac:dyDescent="0.25">
      <c r="A34" s="73" t="s">
        <v>116</v>
      </c>
      <c r="B34" s="2"/>
      <c r="C34" s="2"/>
      <c r="D34" s="17"/>
      <c r="E34" s="81"/>
    </row>
    <row r="35" spans="1:5" x14ac:dyDescent="0.25">
      <c r="A35" s="29"/>
      <c r="B35" s="2" t="s">
        <v>117</v>
      </c>
      <c r="C35" s="2"/>
      <c r="D35" s="17" t="s">
        <v>118</v>
      </c>
      <c r="E35" s="81"/>
    </row>
    <row r="36" spans="1:5" x14ac:dyDescent="0.25">
      <c r="A36" s="29"/>
      <c r="B36" s="2"/>
      <c r="C36" s="2"/>
      <c r="D36" s="17"/>
      <c r="E36" s="81"/>
    </row>
    <row r="37" spans="1:5" x14ac:dyDescent="0.25">
      <c r="A37" s="73" t="s">
        <v>119</v>
      </c>
      <c r="B37" s="2"/>
      <c r="C37" s="2"/>
      <c r="D37" s="17"/>
      <c r="E37" s="81"/>
    </row>
    <row r="38" spans="1:5" x14ac:dyDescent="0.25">
      <c r="A38" s="29"/>
      <c r="B38" s="2" t="s">
        <v>120</v>
      </c>
      <c r="C38" s="2"/>
      <c r="D38" s="17"/>
      <c r="E38" s="81"/>
    </row>
    <row r="39" spans="1:5" x14ac:dyDescent="0.25">
      <c r="A39" s="29"/>
      <c r="B39" s="2"/>
      <c r="C39" s="2"/>
      <c r="D39" s="17"/>
      <c r="E39" s="81"/>
    </row>
    <row r="40" spans="1:5" x14ac:dyDescent="0.25">
      <c r="A40" s="73" t="s">
        <v>121</v>
      </c>
      <c r="B40" s="2"/>
      <c r="C40" s="2"/>
      <c r="D40" s="17" t="s">
        <v>118</v>
      </c>
      <c r="E40" s="81"/>
    </row>
    <row r="41" spans="1:5" x14ac:dyDescent="0.25">
      <c r="A41" s="29"/>
      <c r="B41" s="2"/>
      <c r="C41" s="2"/>
      <c r="D41" s="17"/>
      <c r="E41" s="81"/>
    </row>
    <row r="42" spans="1:5" x14ac:dyDescent="0.25">
      <c r="A42" s="29"/>
      <c r="B42" s="2"/>
      <c r="C42" s="2"/>
      <c r="D42" s="17"/>
      <c r="E42" s="81"/>
    </row>
    <row r="43" spans="1:5" x14ac:dyDescent="0.25">
      <c r="A43" s="73" t="s">
        <v>122</v>
      </c>
      <c r="B43" s="2"/>
      <c r="C43" s="2"/>
      <c r="D43" s="17" t="s">
        <v>118</v>
      </c>
      <c r="E43" s="81"/>
    </row>
    <row r="44" spans="1:5" x14ac:dyDescent="0.25">
      <c r="A44" s="75"/>
      <c r="B44" s="76"/>
      <c r="C44" s="76"/>
      <c r="D44" s="77"/>
      <c r="E44" s="78"/>
    </row>
    <row r="46" spans="1:5" x14ac:dyDescent="0.25">
      <c r="A46" t="s">
        <v>83</v>
      </c>
      <c r="C46" t="s">
        <v>83</v>
      </c>
      <c r="D46"/>
    </row>
    <row r="47" spans="1:5" x14ac:dyDescent="0.25">
      <c r="D47"/>
    </row>
    <row r="48" spans="1:5" x14ac:dyDescent="0.25">
      <c r="A48" t="s">
        <v>85</v>
      </c>
      <c r="C48" t="s">
        <v>86</v>
      </c>
    </row>
    <row r="49" spans="1:4" x14ac:dyDescent="0.25">
      <c r="D49"/>
    </row>
    <row r="50" spans="1:4" x14ac:dyDescent="0.25">
      <c r="A50" t="s">
        <v>84</v>
      </c>
      <c r="D50"/>
    </row>
    <row r="51" spans="1:4" x14ac:dyDescent="0.25">
      <c r="D51"/>
    </row>
    <row r="52" spans="1:4" x14ac:dyDescent="0.25">
      <c r="A52" t="s">
        <v>87</v>
      </c>
      <c r="C52" t="s">
        <v>88</v>
      </c>
      <c r="D52"/>
    </row>
  </sheetData>
  <phoneticPr fontId="23" type="noConversion"/>
  <printOptions horizontalCentered="1"/>
  <pageMargins left="0.9" right="0.9" top="0.9" bottom="0.9" header="0.5" footer="0.5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49"/>
  <sheetViews>
    <sheetView zoomScale="188" zoomScaleNormal="125" workbookViewId="0">
      <selection activeCell="D27" sqref="D27"/>
    </sheetView>
  </sheetViews>
  <sheetFormatPr defaultColWidth="10.88671875" defaultRowHeight="13.2" x14ac:dyDescent="0.25"/>
  <cols>
    <col min="1" max="1" width="45.44140625" style="127" customWidth="1"/>
    <col min="2" max="4" width="12.109375" style="127" customWidth="1"/>
    <col min="5" max="5" width="10.88671875" style="127"/>
    <col min="6" max="6" width="35.109375" style="127" customWidth="1"/>
    <col min="7" max="16384" width="10.88671875" style="127"/>
  </cols>
  <sheetData>
    <row r="1" spans="1:9" ht="17.399999999999999" x14ac:dyDescent="0.3">
      <c r="A1" s="140" t="s">
        <v>123</v>
      </c>
      <c r="B1" s="141"/>
      <c r="C1" s="142"/>
      <c r="D1" s="143"/>
      <c r="E1" s="136"/>
    </row>
    <row r="2" spans="1:9" x14ac:dyDescent="0.25">
      <c r="A2" s="144"/>
      <c r="D2" s="145"/>
      <c r="E2" s="136"/>
    </row>
    <row r="3" spans="1:9" ht="15.6" x14ac:dyDescent="0.3">
      <c r="A3" s="146" t="s">
        <v>90</v>
      </c>
      <c r="C3" s="128"/>
      <c r="D3" s="145"/>
      <c r="E3" s="136"/>
    </row>
    <row r="4" spans="1:9" x14ac:dyDescent="0.25">
      <c r="A4" s="144"/>
      <c r="C4" s="128"/>
      <c r="D4" s="145"/>
      <c r="E4" s="136"/>
    </row>
    <row r="5" spans="1:9" x14ac:dyDescent="0.25">
      <c r="A5" s="147" t="s">
        <v>124</v>
      </c>
      <c r="C5" s="128"/>
      <c r="D5" s="145"/>
      <c r="E5" s="136"/>
    </row>
    <row r="6" spans="1:9" x14ac:dyDescent="0.25">
      <c r="A6" s="147" t="s">
        <v>125</v>
      </c>
      <c r="C6" s="128"/>
      <c r="D6" s="145"/>
      <c r="E6" s="136"/>
    </row>
    <row r="7" spans="1:9" x14ac:dyDescent="0.25">
      <c r="A7" s="144"/>
      <c r="C7" s="130"/>
      <c r="D7" s="148"/>
      <c r="E7" s="136"/>
    </row>
    <row r="8" spans="1:9" x14ac:dyDescent="0.25">
      <c r="A8" s="147" t="s">
        <v>126</v>
      </c>
      <c r="C8" s="130" t="s">
        <v>96</v>
      </c>
      <c r="D8" s="148" t="s">
        <v>96</v>
      </c>
      <c r="E8" s="137"/>
    </row>
    <row r="9" spans="1:9" x14ac:dyDescent="0.25">
      <c r="A9" s="144"/>
      <c r="B9" s="127" t="s">
        <v>127</v>
      </c>
      <c r="C9" s="131">
        <v>13736.33</v>
      </c>
      <c r="D9" s="149"/>
      <c r="E9" s="137"/>
    </row>
    <row r="10" spans="1:9" x14ac:dyDescent="0.25">
      <c r="A10" s="144"/>
      <c r="B10" s="127" t="s">
        <v>128</v>
      </c>
      <c r="C10" s="131">
        <v>4724.63</v>
      </c>
      <c r="D10" s="149"/>
      <c r="E10" s="208"/>
    </row>
    <row r="11" spans="1:9" x14ac:dyDescent="0.25">
      <c r="A11" s="144"/>
      <c r="C11" s="131"/>
      <c r="D11" s="149">
        <f>C9+C10</f>
        <v>18460.96</v>
      </c>
      <c r="E11" s="137"/>
    </row>
    <row r="12" spans="1:9" x14ac:dyDescent="0.25">
      <c r="A12" s="147" t="s">
        <v>129</v>
      </c>
      <c r="C12" s="131"/>
      <c r="D12" s="149">
        <v>0</v>
      </c>
      <c r="E12" s="137"/>
    </row>
    <row r="13" spans="1:9" x14ac:dyDescent="0.25">
      <c r="A13" s="144"/>
      <c r="C13" s="131"/>
      <c r="D13" s="149"/>
      <c r="E13" s="137"/>
      <c r="F13" s="132"/>
      <c r="G13" s="133"/>
      <c r="H13" s="134"/>
      <c r="I13" s="134"/>
    </row>
    <row r="14" spans="1:9" x14ac:dyDescent="0.25">
      <c r="A14" s="147" t="s">
        <v>130</v>
      </c>
      <c r="C14" s="131"/>
      <c r="D14" s="149">
        <v>0</v>
      </c>
      <c r="E14" s="137"/>
      <c r="F14" s="218"/>
      <c r="G14" s="129"/>
      <c r="H14" s="134"/>
      <c r="I14" s="134"/>
    </row>
    <row r="15" spans="1:9" s="129" customFormat="1" ht="14.1" customHeight="1" x14ac:dyDescent="0.25">
      <c r="A15" s="241"/>
      <c r="B15" s="23"/>
      <c r="D15" s="209"/>
      <c r="E15" s="30"/>
      <c r="F15" s="217"/>
      <c r="G15" s="4"/>
      <c r="H15" s="23"/>
      <c r="I15" s="23"/>
    </row>
    <row r="16" spans="1:9" x14ac:dyDescent="0.25">
      <c r="A16" s="223"/>
      <c r="B16" s="131"/>
      <c r="C16" s="131"/>
      <c r="D16" s="149"/>
      <c r="E16" s="15"/>
      <c r="F16" s="43"/>
      <c r="G16" s="98"/>
      <c r="H16" s="21"/>
      <c r="I16" s="21"/>
    </row>
    <row r="17" spans="1:13" x14ac:dyDescent="0.25">
      <c r="A17" s="147" t="s">
        <v>131</v>
      </c>
      <c r="B17" s="131"/>
      <c r="C17" s="131">
        <v>0</v>
      </c>
      <c r="D17" s="149">
        <v>0</v>
      </c>
      <c r="E17" s="137"/>
      <c r="F17" s="132"/>
      <c r="G17" s="133"/>
      <c r="H17" s="134"/>
      <c r="I17" s="134"/>
      <c r="J17" s="131"/>
    </row>
    <row r="18" spans="1:13" x14ac:dyDescent="0.25">
      <c r="A18" s="144"/>
      <c r="B18" s="131"/>
      <c r="C18" s="131"/>
      <c r="D18" s="149"/>
      <c r="E18" s="137"/>
      <c r="J18" s="131"/>
    </row>
    <row r="19" spans="1:13" x14ac:dyDescent="0.25">
      <c r="A19" s="147" t="s">
        <v>132</v>
      </c>
      <c r="B19" s="131"/>
      <c r="C19" s="131"/>
      <c r="D19" s="149">
        <f>SUM(D9:D18)</f>
        <v>18460.96</v>
      </c>
      <c r="E19" s="137"/>
      <c r="H19" s="129"/>
      <c r="I19" s="129"/>
    </row>
    <row r="20" spans="1:13" x14ac:dyDescent="0.25">
      <c r="A20" s="144"/>
      <c r="C20" s="131"/>
      <c r="D20" s="149"/>
      <c r="E20" s="137"/>
      <c r="F20" s="131"/>
      <c r="I20" s="131"/>
      <c r="J20" s="131"/>
    </row>
    <row r="21" spans="1:13" x14ac:dyDescent="0.25">
      <c r="A21" s="144" t="s">
        <v>133</v>
      </c>
      <c r="C21" s="131"/>
      <c r="D21" s="149"/>
      <c r="E21" s="136"/>
      <c r="I21" s="129"/>
    </row>
    <row r="22" spans="1:13" x14ac:dyDescent="0.25">
      <c r="A22" s="144"/>
      <c r="C22" s="131"/>
      <c r="D22" s="149"/>
      <c r="E22" s="136"/>
    </row>
    <row r="23" spans="1:13" x14ac:dyDescent="0.25">
      <c r="A23" s="144" t="s">
        <v>134</v>
      </c>
      <c r="C23" s="131"/>
      <c r="D23" s="149"/>
      <c r="E23" s="136"/>
      <c r="J23" s="131"/>
      <c r="K23" s="131"/>
      <c r="M23" s="131"/>
    </row>
    <row r="24" spans="1:13" x14ac:dyDescent="0.25">
      <c r="A24" s="150" t="s">
        <v>135</v>
      </c>
      <c r="C24" s="131"/>
      <c r="D24" s="149"/>
      <c r="E24" s="136"/>
      <c r="H24" s="129"/>
      <c r="J24" s="129"/>
      <c r="K24" s="129"/>
      <c r="M24" s="129"/>
    </row>
    <row r="25" spans="1:13" x14ac:dyDescent="0.25">
      <c r="A25" s="151"/>
      <c r="B25" s="127" t="s">
        <v>127</v>
      </c>
      <c r="C25" s="131">
        <f>'Cash Book 2022-23'!F7</f>
        <v>10531.98</v>
      </c>
      <c r="D25" s="149"/>
      <c r="E25" s="136"/>
    </row>
    <row r="26" spans="1:13" x14ac:dyDescent="0.25">
      <c r="A26" s="151"/>
      <c r="B26" s="127" t="s">
        <v>128</v>
      </c>
      <c r="C26" s="131">
        <f>'Cash Book 2022-23'!F53</f>
        <v>4714.33</v>
      </c>
      <c r="D26" s="149"/>
      <c r="E26" s="211"/>
    </row>
    <row r="27" spans="1:13" x14ac:dyDescent="0.25">
      <c r="A27" s="151"/>
      <c r="C27" s="131"/>
      <c r="D27" s="149">
        <f>C25+C26</f>
        <v>15246.31</v>
      </c>
      <c r="E27" s="136"/>
      <c r="G27" s="131"/>
    </row>
    <row r="28" spans="1:13" x14ac:dyDescent="0.25">
      <c r="A28" s="151"/>
      <c r="C28" s="131"/>
      <c r="D28" s="149"/>
      <c r="E28" s="136"/>
      <c r="F28" s="131"/>
    </row>
    <row r="29" spans="1:13" x14ac:dyDescent="0.25">
      <c r="A29" s="151" t="s">
        <v>136</v>
      </c>
      <c r="C29" s="131"/>
      <c r="D29" s="149">
        <f>'Cash Book 2022-23'!D58</f>
        <v>8403.43</v>
      </c>
      <c r="E29" s="136"/>
    </row>
    <row r="30" spans="1:13" x14ac:dyDescent="0.25">
      <c r="A30" s="151" t="s">
        <v>137</v>
      </c>
      <c r="C30" s="131"/>
      <c r="D30" s="149">
        <f>-'Cash Book 2022-23'!E58</f>
        <v>-5188.7800000000007</v>
      </c>
      <c r="E30" s="136"/>
    </row>
    <row r="31" spans="1:13" x14ac:dyDescent="0.25">
      <c r="A31" s="144"/>
      <c r="C31" s="131"/>
      <c r="D31" s="149"/>
      <c r="E31" s="211"/>
    </row>
    <row r="32" spans="1:13" x14ac:dyDescent="0.25">
      <c r="A32" s="147" t="s">
        <v>138</v>
      </c>
      <c r="C32" s="131"/>
      <c r="D32" s="149">
        <f>SUM(D24:D30)</f>
        <v>18460.96</v>
      </c>
      <c r="E32" s="136"/>
    </row>
    <row r="33" spans="1:5" s="153" customFormat="1" ht="13.8" thickBot="1" x14ac:dyDescent="0.3">
      <c r="A33" s="152"/>
      <c r="C33" s="154"/>
      <c r="D33" s="155"/>
      <c r="E33" s="156"/>
    </row>
    <row r="34" spans="1:5" s="12" customFormat="1" x14ac:dyDescent="0.25">
      <c r="D34" s="157"/>
    </row>
    <row r="35" spans="1:5" customFormat="1" x14ac:dyDescent="0.25">
      <c r="C35" s="13"/>
    </row>
    <row r="36" spans="1:5" customFormat="1" x14ac:dyDescent="0.25">
      <c r="A36" t="s">
        <v>83</v>
      </c>
      <c r="B36" t="s">
        <v>83</v>
      </c>
      <c r="C36" s="13"/>
      <c r="D36" s="13"/>
      <c r="E36" s="13"/>
    </row>
    <row r="37" spans="1:5" customFormat="1" x14ac:dyDescent="0.25">
      <c r="C37" s="13"/>
    </row>
    <row r="38" spans="1:5" customFormat="1" x14ac:dyDescent="0.25">
      <c r="A38" s="13" t="s">
        <v>139</v>
      </c>
      <c r="B38" s="13" t="s">
        <v>140</v>
      </c>
    </row>
    <row r="39" spans="1:5" customFormat="1" x14ac:dyDescent="0.25">
      <c r="C39" s="13"/>
    </row>
    <row r="40" spans="1:5" customFormat="1" x14ac:dyDescent="0.25">
      <c r="A40" t="s">
        <v>84</v>
      </c>
      <c r="C40" s="13"/>
      <c r="D40" s="13"/>
      <c r="E40" s="13"/>
    </row>
    <row r="41" spans="1:5" customFormat="1" x14ac:dyDescent="0.25">
      <c r="C41" s="13"/>
      <c r="D41" s="13"/>
      <c r="E41" s="13"/>
    </row>
    <row r="42" spans="1:5" customFormat="1" x14ac:dyDescent="0.25">
      <c r="A42" t="s">
        <v>87</v>
      </c>
      <c r="B42" t="s">
        <v>88</v>
      </c>
      <c r="C42" s="13"/>
      <c r="D42" s="13"/>
      <c r="E42" s="13"/>
    </row>
    <row r="43" spans="1:5" customFormat="1" x14ac:dyDescent="0.25">
      <c r="C43" s="13"/>
      <c r="D43" s="13"/>
      <c r="E43" s="13"/>
    </row>
    <row r="44" spans="1:5" s="138" customFormat="1" x14ac:dyDescent="0.25">
      <c r="C44" s="139"/>
      <c r="D44" s="139"/>
      <c r="E44" s="139"/>
    </row>
    <row r="45" spans="1:5" x14ac:dyDescent="0.25">
      <c r="A45" s="129" t="s">
        <v>141</v>
      </c>
      <c r="C45" s="128"/>
      <c r="D45" s="128"/>
      <c r="E45" s="128"/>
    </row>
    <row r="48" spans="1:5" x14ac:dyDescent="0.25">
      <c r="A48" s="135"/>
      <c r="B48" s="134"/>
    </row>
    <row r="49" spans="1:2" x14ac:dyDescent="0.25">
      <c r="A49" s="135"/>
      <c r="B49" s="134"/>
    </row>
  </sheetData>
  <sortState xmlns:xlrd2="http://schemas.microsoft.com/office/spreadsheetml/2017/richdata2" ref="A15:M15">
    <sortCondition ref="A15"/>
  </sortState>
  <phoneticPr fontId="23" type="noConversion"/>
  <printOptions horizontalCentered="1"/>
  <pageMargins left="0.8" right="0.8" top="1" bottom="1" header="0.5" footer="0.5"/>
  <pageSetup paperSize="9" scale="97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46DC-46F9-2E42-9FC0-3B68A5B89C4A}">
  <sheetPr>
    <pageSetUpPr fitToPage="1"/>
  </sheetPr>
  <dimension ref="A1:V41"/>
  <sheetViews>
    <sheetView topLeftCell="A7" zoomScale="125" zoomScaleNormal="125" workbookViewId="0">
      <selection activeCell="H20" sqref="H20"/>
    </sheetView>
  </sheetViews>
  <sheetFormatPr defaultColWidth="9.109375" defaultRowHeight="13.8" x14ac:dyDescent="0.25"/>
  <cols>
    <col min="1" max="1" width="10.88671875" style="104" customWidth="1"/>
    <col min="2" max="2" width="9.109375" style="104"/>
    <col min="3" max="3" width="15.44140625" style="104" customWidth="1"/>
    <col min="4" max="4" width="9.109375" style="104"/>
    <col min="5" max="5" width="2.44140625" style="104" customWidth="1"/>
    <col min="6" max="6" width="9.109375" style="104"/>
    <col min="7" max="7" width="10.88671875" style="104" customWidth="1"/>
    <col min="8" max="8" width="11" style="104" customWidth="1"/>
    <col min="9" max="11" width="9.109375" style="104" hidden="1" customWidth="1"/>
    <col min="12" max="12" width="11.88671875" style="104" customWidth="1"/>
    <col min="13" max="13" width="34.109375" style="103" customWidth="1"/>
    <col min="14" max="14" width="31.6640625" style="104" customWidth="1"/>
    <col min="15" max="256" width="9.109375" style="104"/>
    <col min="257" max="257" width="10.88671875" style="104" customWidth="1"/>
    <col min="258" max="258" width="9.109375" style="104"/>
    <col min="259" max="259" width="32.44140625" style="104" customWidth="1"/>
    <col min="260" max="260" width="9.109375" style="104"/>
    <col min="261" max="261" width="3.33203125" style="104" customWidth="1"/>
    <col min="262" max="262" width="9.109375" style="104"/>
    <col min="263" max="263" width="10.109375" style="104" customWidth="1"/>
    <col min="264" max="264" width="9.44140625" style="104" customWidth="1"/>
    <col min="265" max="267" width="0" style="104" hidden="1" customWidth="1"/>
    <col min="268" max="268" width="13.33203125" style="104" customWidth="1"/>
    <col min="269" max="269" width="50.44140625" style="104" bestFit="1" customWidth="1"/>
    <col min="270" max="270" width="95.109375" style="104" customWidth="1"/>
    <col min="271" max="512" width="9.109375" style="104"/>
    <col min="513" max="513" width="10.88671875" style="104" customWidth="1"/>
    <col min="514" max="514" width="9.109375" style="104"/>
    <col min="515" max="515" width="32.44140625" style="104" customWidth="1"/>
    <col min="516" max="516" width="9.109375" style="104"/>
    <col min="517" max="517" width="3.33203125" style="104" customWidth="1"/>
    <col min="518" max="518" width="9.109375" style="104"/>
    <col min="519" max="519" width="10.109375" style="104" customWidth="1"/>
    <col min="520" max="520" width="9.44140625" style="104" customWidth="1"/>
    <col min="521" max="523" width="0" style="104" hidden="1" customWidth="1"/>
    <col min="524" max="524" width="13.33203125" style="104" customWidth="1"/>
    <col min="525" max="525" width="50.44140625" style="104" bestFit="1" customWidth="1"/>
    <col min="526" max="526" width="95.109375" style="104" customWidth="1"/>
    <col min="527" max="768" width="9.109375" style="104"/>
    <col min="769" max="769" width="10.88671875" style="104" customWidth="1"/>
    <col min="770" max="770" width="9.109375" style="104"/>
    <col min="771" max="771" width="32.44140625" style="104" customWidth="1"/>
    <col min="772" max="772" width="9.109375" style="104"/>
    <col min="773" max="773" width="3.33203125" style="104" customWidth="1"/>
    <col min="774" max="774" width="9.109375" style="104"/>
    <col min="775" max="775" width="10.109375" style="104" customWidth="1"/>
    <col min="776" max="776" width="9.44140625" style="104" customWidth="1"/>
    <col min="777" max="779" width="0" style="104" hidden="1" customWidth="1"/>
    <col min="780" max="780" width="13.33203125" style="104" customWidth="1"/>
    <col min="781" max="781" width="50.44140625" style="104" bestFit="1" customWidth="1"/>
    <col min="782" max="782" width="95.109375" style="104" customWidth="1"/>
    <col min="783" max="1024" width="9.109375" style="104"/>
    <col min="1025" max="1025" width="10.88671875" style="104" customWidth="1"/>
    <col min="1026" max="1026" width="9.109375" style="104"/>
    <col min="1027" max="1027" width="32.44140625" style="104" customWidth="1"/>
    <col min="1028" max="1028" width="9.109375" style="104"/>
    <col min="1029" max="1029" width="3.33203125" style="104" customWidth="1"/>
    <col min="1030" max="1030" width="9.109375" style="104"/>
    <col min="1031" max="1031" width="10.109375" style="104" customWidth="1"/>
    <col min="1032" max="1032" width="9.44140625" style="104" customWidth="1"/>
    <col min="1033" max="1035" width="0" style="104" hidden="1" customWidth="1"/>
    <col min="1036" max="1036" width="13.33203125" style="104" customWidth="1"/>
    <col min="1037" max="1037" width="50.44140625" style="104" bestFit="1" customWidth="1"/>
    <col min="1038" max="1038" width="95.109375" style="104" customWidth="1"/>
    <col min="1039" max="1280" width="9.109375" style="104"/>
    <col min="1281" max="1281" width="10.88671875" style="104" customWidth="1"/>
    <col min="1282" max="1282" width="9.109375" style="104"/>
    <col min="1283" max="1283" width="32.44140625" style="104" customWidth="1"/>
    <col min="1284" max="1284" width="9.109375" style="104"/>
    <col min="1285" max="1285" width="3.33203125" style="104" customWidth="1"/>
    <col min="1286" max="1286" width="9.109375" style="104"/>
    <col min="1287" max="1287" width="10.109375" style="104" customWidth="1"/>
    <col min="1288" max="1288" width="9.44140625" style="104" customWidth="1"/>
    <col min="1289" max="1291" width="0" style="104" hidden="1" customWidth="1"/>
    <col min="1292" max="1292" width="13.33203125" style="104" customWidth="1"/>
    <col min="1293" max="1293" width="50.44140625" style="104" bestFit="1" customWidth="1"/>
    <col min="1294" max="1294" width="95.109375" style="104" customWidth="1"/>
    <col min="1295" max="1536" width="9.109375" style="104"/>
    <col min="1537" max="1537" width="10.88671875" style="104" customWidth="1"/>
    <col min="1538" max="1538" width="9.109375" style="104"/>
    <col min="1539" max="1539" width="32.44140625" style="104" customWidth="1"/>
    <col min="1540" max="1540" width="9.109375" style="104"/>
    <col min="1541" max="1541" width="3.33203125" style="104" customWidth="1"/>
    <col min="1542" max="1542" width="9.109375" style="104"/>
    <col min="1543" max="1543" width="10.109375" style="104" customWidth="1"/>
    <col min="1544" max="1544" width="9.44140625" style="104" customWidth="1"/>
    <col min="1545" max="1547" width="0" style="104" hidden="1" customWidth="1"/>
    <col min="1548" max="1548" width="13.33203125" style="104" customWidth="1"/>
    <col min="1549" max="1549" width="50.44140625" style="104" bestFit="1" customWidth="1"/>
    <col min="1550" max="1550" width="95.109375" style="104" customWidth="1"/>
    <col min="1551" max="1792" width="9.109375" style="104"/>
    <col min="1793" max="1793" width="10.88671875" style="104" customWidth="1"/>
    <col min="1794" max="1794" width="9.109375" style="104"/>
    <col min="1795" max="1795" width="32.44140625" style="104" customWidth="1"/>
    <col min="1796" max="1796" width="9.109375" style="104"/>
    <col min="1797" max="1797" width="3.33203125" style="104" customWidth="1"/>
    <col min="1798" max="1798" width="9.109375" style="104"/>
    <col min="1799" max="1799" width="10.109375" style="104" customWidth="1"/>
    <col min="1800" max="1800" width="9.44140625" style="104" customWidth="1"/>
    <col min="1801" max="1803" width="0" style="104" hidden="1" customWidth="1"/>
    <col min="1804" max="1804" width="13.33203125" style="104" customWidth="1"/>
    <col min="1805" max="1805" width="50.44140625" style="104" bestFit="1" customWidth="1"/>
    <col min="1806" max="1806" width="95.109375" style="104" customWidth="1"/>
    <col min="1807" max="2048" width="9.109375" style="104"/>
    <col min="2049" max="2049" width="10.88671875" style="104" customWidth="1"/>
    <col min="2050" max="2050" width="9.109375" style="104"/>
    <col min="2051" max="2051" width="32.44140625" style="104" customWidth="1"/>
    <col min="2052" max="2052" width="9.109375" style="104"/>
    <col min="2053" max="2053" width="3.33203125" style="104" customWidth="1"/>
    <col min="2054" max="2054" width="9.109375" style="104"/>
    <col min="2055" max="2055" width="10.109375" style="104" customWidth="1"/>
    <col min="2056" max="2056" width="9.44140625" style="104" customWidth="1"/>
    <col min="2057" max="2059" width="0" style="104" hidden="1" customWidth="1"/>
    <col min="2060" max="2060" width="13.33203125" style="104" customWidth="1"/>
    <col min="2061" max="2061" width="50.44140625" style="104" bestFit="1" customWidth="1"/>
    <col min="2062" max="2062" width="95.109375" style="104" customWidth="1"/>
    <col min="2063" max="2304" width="9.109375" style="104"/>
    <col min="2305" max="2305" width="10.88671875" style="104" customWidth="1"/>
    <col min="2306" max="2306" width="9.109375" style="104"/>
    <col min="2307" max="2307" width="32.44140625" style="104" customWidth="1"/>
    <col min="2308" max="2308" width="9.109375" style="104"/>
    <col min="2309" max="2309" width="3.33203125" style="104" customWidth="1"/>
    <col min="2310" max="2310" width="9.109375" style="104"/>
    <col min="2311" max="2311" width="10.109375" style="104" customWidth="1"/>
    <col min="2312" max="2312" width="9.44140625" style="104" customWidth="1"/>
    <col min="2313" max="2315" width="0" style="104" hidden="1" customWidth="1"/>
    <col min="2316" max="2316" width="13.33203125" style="104" customWidth="1"/>
    <col min="2317" max="2317" width="50.44140625" style="104" bestFit="1" customWidth="1"/>
    <col min="2318" max="2318" width="95.109375" style="104" customWidth="1"/>
    <col min="2319" max="2560" width="9.109375" style="104"/>
    <col min="2561" max="2561" width="10.88671875" style="104" customWidth="1"/>
    <col min="2562" max="2562" width="9.109375" style="104"/>
    <col min="2563" max="2563" width="32.44140625" style="104" customWidth="1"/>
    <col min="2564" max="2564" width="9.109375" style="104"/>
    <col min="2565" max="2565" width="3.33203125" style="104" customWidth="1"/>
    <col min="2566" max="2566" width="9.109375" style="104"/>
    <col min="2567" max="2567" width="10.109375" style="104" customWidth="1"/>
    <col min="2568" max="2568" width="9.44140625" style="104" customWidth="1"/>
    <col min="2569" max="2571" width="0" style="104" hidden="1" customWidth="1"/>
    <col min="2572" max="2572" width="13.33203125" style="104" customWidth="1"/>
    <col min="2573" max="2573" width="50.44140625" style="104" bestFit="1" customWidth="1"/>
    <col min="2574" max="2574" width="95.109375" style="104" customWidth="1"/>
    <col min="2575" max="2816" width="9.109375" style="104"/>
    <col min="2817" max="2817" width="10.88671875" style="104" customWidth="1"/>
    <col min="2818" max="2818" width="9.109375" style="104"/>
    <col min="2819" max="2819" width="32.44140625" style="104" customWidth="1"/>
    <col min="2820" max="2820" width="9.109375" style="104"/>
    <col min="2821" max="2821" width="3.33203125" style="104" customWidth="1"/>
    <col min="2822" max="2822" width="9.109375" style="104"/>
    <col min="2823" max="2823" width="10.109375" style="104" customWidth="1"/>
    <col min="2824" max="2824" width="9.44140625" style="104" customWidth="1"/>
    <col min="2825" max="2827" width="0" style="104" hidden="1" customWidth="1"/>
    <col min="2828" max="2828" width="13.33203125" style="104" customWidth="1"/>
    <col min="2829" max="2829" width="50.44140625" style="104" bestFit="1" customWidth="1"/>
    <col min="2830" max="2830" width="95.109375" style="104" customWidth="1"/>
    <col min="2831" max="3072" width="9.109375" style="104"/>
    <col min="3073" max="3073" width="10.88671875" style="104" customWidth="1"/>
    <col min="3074" max="3074" width="9.109375" style="104"/>
    <col min="3075" max="3075" width="32.44140625" style="104" customWidth="1"/>
    <col min="3076" max="3076" width="9.109375" style="104"/>
    <col min="3077" max="3077" width="3.33203125" style="104" customWidth="1"/>
    <col min="3078" max="3078" width="9.109375" style="104"/>
    <col min="3079" max="3079" width="10.109375" style="104" customWidth="1"/>
    <col min="3080" max="3080" width="9.44140625" style="104" customWidth="1"/>
    <col min="3081" max="3083" width="0" style="104" hidden="1" customWidth="1"/>
    <col min="3084" max="3084" width="13.33203125" style="104" customWidth="1"/>
    <col min="3085" max="3085" width="50.44140625" style="104" bestFit="1" customWidth="1"/>
    <col min="3086" max="3086" width="95.109375" style="104" customWidth="1"/>
    <col min="3087" max="3328" width="9.109375" style="104"/>
    <col min="3329" max="3329" width="10.88671875" style="104" customWidth="1"/>
    <col min="3330" max="3330" width="9.109375" style="104"/>
    <col min="3331" max="3331" width="32.44140625" style="104" customWidth="1"/>
    <col min="3332" max="3332" width="9.109375" style="104"/>
    <col min="3333" max="3333" width="3.33203125" style="104" customWidth="1"/>
    <col min="3334" max="3334" width="9.109375" style="104"/>
    <col min="3335" max="3335" width="10.109375" style="104" customWidth="1"/>
    <col min="3336" max="3336" width="9.44140625" style="104" customWidth="1"/>
    <col min="3337" max="3339" width="0" style="104" hidden="1" customWidth="1"/>
    <col min="3340" max="3340" width="13.33203125" style="104" customWidth="1"/>
    <col min="3341" max="3341" width="50.44140625" style="104" bestFit="1" customWidth="1"/>
    <col min="3342" max="3342" width="95.109375" style="104" customWidth="1"/>
    <col min="3343" max="3584" width="9.109375" style="104"/>
    <col min="3585" max="3585" width="10.88671875" style="104" customWidth="1"/>
    <col min="3586" max="3586" width="9.109375" style="104"/>
    <col min="3587" max="3587" width="32.44140625" style="104" customWidth="1"/>
    <col min="3588" max="3588" width="9.109375" style="104"/>
    <col min="3589" max="3589" width="3.33203125" style="104" customWidth="1"/>
    <col min="3590" max="3590" width="9.109375" style="104"/>
    <col min="3591" max="3591" width="10.109375" style="104" customWidth="1"/>
    <col min="3592" max="3592" width="9.44140625" style="104" customWidth="1"/>
    <col min="3593" max="3595" width="0" style="104" hidden="1" customWidth="1"/>
    <col min="3596" max="3596" width="13.33203125" style="104" customWidth="1"/>
    <col min="3597" max="3597" width="50.44140625" style="104" bestFit="1" customWidth="1"/>
    <col min="3598" max="3598" width="95.109375" style="104" customWidth="1"/>
    <col min="3599" max="3840" width="9.109375" style="104"/>
    <col min="3841" max="3841" width="10.88671875" style="104" customWidth="1"/>
    <col min="3842" max="3842" width="9.109375" style="104"/>
    <col min="3843" max="3843" width="32.44140625" style="104" customWidth="1"/>
    <col min="3844" max="3844" width="9.109375" style="104"/>
    <col min="3845" max="3845" width="3.33203125" style="104" customWidth="1"/>
    <col min="3846" max="3846" width="9.109375" style="104"/>
    <col min="3847" max="3847" width="10.109375" style="104" customWidth="1"/>
    <col min="3848" max="3848" width="9.44140625" style="104" customWidth="1"/>
    <col min="3849" max="3851" width="0" style="104" hidden="1" customWidth="1"/>
    <col min="3852" max="3852" width="13.33203125" style="104" customWidth="1"/>
    <col min="3853" max="3853" width="50.44140625" style="104" bestFit="1" customWidth="1"/>
    <col min="3854" max="3854" width="95.109375" style="104" customWidth="1"/>
    <col min="3855" max="4096" width="9.109375" style="104"/>
    <col min="4097" max="4097" width="10.88671875" style="104" customWidth="1"/>
    <col min="4098" max="4098" width="9.109375" style="104"/>
    <col min="4099" max="4099" width="32.44140625" style="104" customWidth="1"/>
    <col min="4100" max="4100" width="9.109375" style="104"/>
    <col min="4101" max="4101" width="3.33203125" style="104" customWidth="1"/>
    <col min="4102" max="4102" width="9.109375" style="104"/>
    <col min="4103" max="4103" width="10.109375" style="104" customWidth="1"/>
    <col min="4104" max="4104" width="9.44140625" style="104" customWidth="1"/>
    <col min="4105" max="4107" width="0" style="104" hidden="1" customWidth="1"/>
    <col min="4108" max="4108" width="13.33203125" style="104" customWidth="1"/>
    <col min="4109" max="4109" width="50.44140625" style="104" bestFit="1" customWidth="1"/>
    <col min="4110" max="4110" width="95.109375" style="104" customWidth="1"/>
    <col min="4111" max="4352" width="9.109375" style="104"/>
    <col min="4353" max="4353" width="10.88671875" style="104" customWidth="1"/>
    <col min="4354" max="4354" width="9.109375" style="104"/>
    <col min="4355" max="4355" width="32.44140625" style="104" customWidth="1"/>
    <col min="4356" max="4356" width="9.109375" style="104"/>
    <col min="4357" max="4357" width="3.33203125" style="104" customWidth="1"/>
    <col min="4358" max="4358" width="9.109375" style="104"/>
    <col min="4359" max="4359" width="10.109375" style="104" customWidth="1"/>
    <col min="4360" max="4360" width="9.44140625" style="104" customWidth="1"/>
    <col min="4361" max="4363" width="0" style="104" hidden="1" customWidth="1"/>
    <col min="4364" max="4364" width="13.33203125" style="104" customWidth="1"/>
    <col min="4365" max="4365" width="50.44140625" style="104" bestFit="1" customWidth="1"/>
    <col min="4366" max="4366" width="95.109375" style="104" customWidth="1"/>
    <col min="4367" max="4608" width="9.109375" style="104"/>
    <col min="4609" max="4609" width="10.88671875" style="104" customWidth="1"/>
    <col min="4610" max="4610" width="9.109375" style="104"/>
    <col min="4611" max="4611" width="32.44140625" style="104" customWidth="1"/>
    <col min="4612" max="4612" width="9.109375" style="104"/>
    <col min="4613" max="4613" width="3.33203125" style="104" customWidth="1"/>
    <col min="4614" max="4614" width="9.109375" style="104"/>
    <col min="4615" max="4615" width="10.109375" style="104" customWidth="1"/>
    <col min="4616" max="4616" width="9.44140625" style="104" customWidth="1"/>
    <col min="4617" max="4619" width="0" style="104" hidden="1" customWidth="1"/>
    <col min="4620" max="4620" width="13.33203125" style="104" customWidth="1"/>
    <col min="4621" max="4621" width="50.44140625" style="104" bestFit="1" customWidth="1"/>
    <col min="4622" max="4622" width="95.109375" style="104" customWidth="1"/>
    <col min="4623" max="4864" width="9.109375" style="104"/>
    <col min="4865" max="4865" width="10.88671875" style="104" customWidth="1"/>
    <col min="4866" max="4866" width="9.109375" style="104"/>
    <col min="4867" max="4867" width="32.44140625" style="104" customWidth="1"/>
    <col min="4868" max="4868" width="9.109375" style="104"/>
    <col min="4869" max="4869" width="3.33203125" style="104" customWidth="1"/>
    <col min="4870" max="4870" width="9.109375" style="104"/>
    <col min="4871" max="4871" width="10.109375" style="104" customWidth="1"/>
    <col min="4872" max="4872" width="9.44140625" style="104" customWidth="1"/>
    <col min="4873" max="4875" width="0" style="104" hidden="1" customWidth="1"/>
    <col min="4876" max="4876" width="13.33203125" style="104" customWidth="1"/>
    <col min="4877" max="4877" width="50.44140625" style="104" bestFit="1" customWidth="1"/>
    <col min="4878" max="4878" width="95.109375" style="104" customWidth="1"/>
    <col min="4879" max="5120" width="9.109375" style="104"/>
    <col min="5121" max="5121" width="10.88671875" style="104" customWidth="1"/>
    <col min="5122" max="5122" width="9.109375" style="104"/>
    <col min="5123" max="5123" width="32.44140625" style="104" customWidth="1"/>
    <col min="5124" max="5124" width="9.109375" style="104"/>
    <col min="5125" max="5125" width="3.33203125" style="104" customWidth="1"/>
    <col min="5126" max="5126" width="9.109375" style="104"/>
    <col min="5127" max="5127" width="10.109375" style="104" customWidth="1"/>
    <col min="5128" max="5128" width="9.44140625" style="104" customWidth="1"/>
    <col min="5129" max="5131" width="0" style="104" hidden="1" customWidth="1"/>
    <col min="5132" max="5132" width="13.33203125" style="104" customWidth="1"/>
    <col min="5133" max="5133" width="50.44140625" style="104" bestFit="1" customWidth="1"/>
    <col min="5134" max="5134" width="95.109375" style="104" customWidth="1"/>
    <col min="5135" max="5376" width="9.109375" style="104"/>
    <col min="5377" max="5377" width="10.88671875" style="104" customWidth="1"/>
    <col min="5378" max="5378" width="9.109375" style="104"/>
    <col min="5379" max="5379" width="32.44140625" style="104" customWidth="1"/>
    <col min="5380" max="5380" width="9.109375" style="104"/>
    <col min="5381" max="5381" width="3.33203125" style="104" customWidth="1"/>
    <col min="5382" max="5382" width="9.109375" style="104"/>
    <col min="5383" max="5383" width="10.109375" style="104" customWidth="1"/>
    <col min="5384" max="5384" width="9.44140625" style="104" customWidth="1"/>
    <col min="5385" max="5387" width="0" style="104" hidden="1" customWidth="1"/>
    <col min="5388" max="5388" width="13.33203125" style="104" customWidth="1"/>
    <col min="5389" max="5389" width="50.44140625" style="104" bestFit="1" customWidth="1"/>
    <col min="5390" max="5390" width="95.109375" style="104" customWidth="1"/>
    <col min="5391" max="5632" width="9.109375" style="104"/>
    <col min="5633" max="5633" width="10.88671875" style="104" customWidth="1"/>
    <col min="5634" max="5634" width="9.109375" style="104"/>
    <col min="5635" max="5635" width="32.44140625" style="104" customWidth="1"/>
    <col min="5636" max="5636" width="9.109375" style="104"/>
    <col min="5637" max="5637" width="3.33203125" style="104" customWidth="1"/>
    <col min="5638" max="5638" width="9.109375" style="104"/>
    <col min="5639" max="5639" width="10.109375" style="104" customWidth="1"/>
    <col min="5640" max="5640" width="9.44140625" style="104" customWidth="1"/>
    <col min="5641" max="5643" width="0" style="104" hidden="1" customWidth="1"/>
    <col min="5644" max="5644" width="13.33203125" style="104" customWidth="1"/>
    <col min="5645" max="5645" width="50.44140625" style="104" bestFit="1" customWidth="1"/>
    <col min="5646" max="5646" width="95.109375" style="104" customWidth="1"/>
    <col min="5647" max="5888" width="9.109375" style="104"/>
    <col min="5889" max="5889" width="10.88671875" style="104" customWidth="1"/>
    <col min="5890" max="5890" width="9.109375" style="104"/>
    <col min="5891" max="5891" width="32.44140625" style="104" customWidth="1"/>
    <col min="5892" max="5892" width="9.109375" style="104"/>
    <col min="5893" max="5893" width="3.33203125" style="104" customWidth="1"/>
    <col min="5894" max="5894" width="9.109375" style="104"/>
    <col min="5895" max="5895" width="10.109375" style="104" customWidth="1"/>
    <col min="5896" max="5896" width="9.44140625" style="104" customWidth="1"/>
    <col min="5897" max="5899" width="0" style="104" hidden="1" customWidth="1"/>
    <col min="5900" max="5900" width="13.33203125" style="104" customWidth="1"/>
    <col min="5901" max="5901" width="50.44140625" style="104" bestFit="1" customWidth="1"/>
    <col min="5902" max="5902" width="95.109375" style="104" customWidth="1"/>
    <col min="5903" max="6144" width="9.109375" style="104"/>
    <col min="6145" max="6145" width="10.88671875" style="104" customWidth="1"/>
    <col min="6146" max="6146" width="9.109375" style="104"/>
    <col min="6147" max="6147" width="32.44140625" style="104" customWidth="1"/>
    <col min="6148" max="6148" width="9.109375" style="104"/>
    <col min="6149" max="6149" width="3.33203125" style="104" customWidth="1"/>
    <col min="6150" max="6150" width="9.109375" style="104"/>
    <col min="6151" max="6151" width="10.109375" style="104" customWidth="1"/>
    <col min="6152" max="6152" width="9.44140625" style="104" customWidth="1"/>
    <col min="6153" max="6155" width="0" style="104" hidden="1" customWidth="1"/>
    <col min="6156" max="6156" width="13.33203125" style="104" customWidth="1"/>
    <col min="6157" max="6157" width="50.44140625" style="104" bestFit="1" customWidth="1"/>
    <col min="6158" max="6158" width="95.109375" style="104" customWidth="1"/>
    <col min="6159" max="6400" width="9.109375" style="104"/>
    <col min="6401" max="6401" width="10.88671875" style="104" customWidth="1"/>
    <col min="6402" max="6402" width="9.109375" style="104"/>
    <col min="6403" max="6403" width="32.44140625" style="104" customWidth="1"/>
    <col min="6404" max="6404" width="9.109375" style="104"/>
    <col min="6405" max="6405" width="3.33203125" style="104" customWidth="1"/>
    <col min="6406" max="6406" width="9.109375" style="104"/>
    <col min="6407" max="6407" width="10.109375" style="104" customWidth="1"/>
    <col min="6408" max="6408" width="9.44140625" style="104" customWidth="1"/>
    <col min="6409" max="6411" width="0" style="104" hidden="1" customWidth="1"/>
    <col min="6412" max="6412" width="13.33203125" style="104" customWidth="1"/>
    <col min="6413" max="6413" width="50.44140625" style="104" bestFit="1" customWidth="1"/>
    <col min="6414" max="6414" width="95.109375" style="104" customWidth="1"/>
    <col min="6415" max="6656" width="9.109375" style="104"/>
    <col min="6657" max="6657" width="10.88671875" style="104" customWidth="1"/>
    <col min="6658" max="6658" width="9.109375" style="104"/>
    <col min="6659" max="6659" width="32.44140625" style="104" customWidth="1"/>
    <col min="6660" max="6660" width="9.109375" style="104"/>
    <col min="6661" max="6661" width="3.33203125" style="104" customWidth="1"/>
    <col min="6662" max="6662" width="9.109375" style="104"/>
    <col min="6663" max="6663" width="10.109375" style="104" customWidth="1"/>
    <col min="6664" max="6664" width="9.44140625" style="104" customWidth="1"/>
    <col min="6665" max="6667" width="0" style="104" hidden="1" customWidth="1"/>
    <col min="6668" max="6668" width="13.33203125" style="104" customWidth="1"/>
    <col min="6669" max="6669" width="50.44140625" style="104" bestFit="1" customWidth="1"/>
    <col min="6670" max="6670" width="95.109375" style="104" customWidth="1"/>
    <col min="6671" max="6912" width="9.109375" style="104"/>
    <col min="6913" max="6913" width="10.88671875" style="104" customWidth="1"/>
    <col min="6914" max="6914" width="9.109375" style="104"/>
    <col min="6915" max="6915" width="32.44140625" style="104" customWidth="1"/>
    <col min="6916" max="6916" width="9.109375" style="104"/>
    <col min="6917" max="6917" width="3.33203125" style="104" customWidth="1"/>
    <col min="6918" max="6918" width="9.109375" style="104"/>
    <col min="6919" max="6919" width="10.109375" style="104" customWidth="1"/>
    <col min="6920" max="6920" width="9.44140625" style="104" customWidth="1"/>
    <col min="6921" max="6923" width="0" style="104" hidden="1" customWidth="1"/>
    <col min="6924" max="6924" width="13.33203125" style="104" customWidth="1"/>
    <col min="6925" max="6925" width="50.44140625" style="104" bestFit="1" customWidth="1"/>
    <col min="6926" max="6926" width="95.109375" style="104" customWidth="1"/>
    <col min="6927" max="7168" width="9.109375" style="104"/>
    <col min="7169" max="7169" width="10.88671875" style="104" customWidth="1"/>
    <col min="7170" max="7170" width="9.109375" style="104"/>
    <col min="7171" max="7171" width="32.44140625" style="104" customWidth="1"/>
    <col min="7172" max="7172" width="9.109375" style="104"/>
    <col min="7173" max="7173" width="3.33203125" style="104" customWidth="1"/>
    <col min="7174" max="7174" width="9.109375" style="104"/>
    <col min="7175" max="7175" width="10.109375" style="104" customWidth="1"/>
    <col min="7176" max="7176" width="9.44140625" style="104" customWidth="1"/>
    <col min="7177" max="7179" width="0" style="104" hidden="1" customWidth="1"/>
    <col min="7180" max="7180" width="13.33203125" style="104" customWidth="1"/>
    <col min="7181" max="7181" width="50.44140625" style="104" bestFit="1" customWidth="1"/>
    <col min="7182" max="7182" width="95.109375" style="104" customWidth="1"/>
    <col min="7183" max="7424" width="9.109375" style="104"/>
    <col min="7425" max="7425" width="10.88671875" style="104" customWidth="1"/>
    <col min="7426" max="7426" width="9.109375" style="104"/>
    <col min="7427" max="7427" width="32.44140625" style="104" customWidth="1"/>
    <col min="7428" max="7428" width="9.109375" style="104"/>
    <col min="7429" max="7429" width="3.33203125" style="104" customWidth="1"/>
    <col min="7430" max="7430" width="9.109375" style="104"/>
    <col min="7431" max="7431" width="10.109375" style="104" customWidth="1"/>
    <col min="7432" max="7432" width="9.44140625" style="104" customWidth="1"/>
    <col min="7433" max="7435" width="0" style="104" hidden="1" customWidth="1"/>
    <col min="7436" max="7436" width="13.33203125" style="104" customWidth="1"/>
    <col min="7437" max="7437" width="50.44140625" style="104" bestFit="1" customWidth="1"/>
    <col min="7438" max="7438" width="95.109375" style="104" customWidth="1"/>
    <col min="7439" max="7680" width="9.109375" style="104"/>
    <col min="7681" max="7681" width="10.88671875" style="104" customWidth="1"/>
    <col min="7682" max="7682" width="9.109375" style="104"/>
    <col min="7683" max="7683" width="32.44140625" style="104" customWidth="1"/>
    <col min="7684" max="7684" width="9.109375" style="104"/>
    <col min="7685" max="7685" width="3.33203125" style="104" customWidth="1"/>
    <col min="7686" max="7686" width="9.109375" style="104"/>
    <col min="7687" max="7687" width="10.109375" style="104" customWidth="1"/>
    <col min="7688" max="7688" width="9.44140625" style="104" customWidth="1"/>
    <col min="7689" max="7691" width="0" style="104" hidden="1" customWidth="1"/>
    <col min="7692" max="7692" width="13.33203125" style="104" customWidth="1"/>
    <col min="7693" max="7693" width="50.44140625" style="104" bestFit="1" customWidth="1"/>
    <col min="7694" max="7694" width="95.109375" style="104" customWidth="1"/>
    <col min="7695" max="7936" width="9.109375" style="104"/>
    <col min="7937" max="7937" width="10.88671875" style="104" customWidth="1"/>
    <col min="7938" max="7938" width="9.109375" style="104"/>
    <col min="7939" max="7939" width="32.44140625" style="104" customWidth="1"/>
    <col min="7940" max="7940" width="9.109375" style="104"/>
    <col min="7941" max="7941" width="3.33203125" style="104" customWidth="1"/>
    <col min="7942" max="7942" width="9.109375" style="104"/>
    <col min="7943" max="7943" width="10.109375" style="104" customWidth="1"/>
    <col min="7944" max="7944" width="9.44140625" style="104" customWidth="1"/>
    <col min="7945" max="7947" width="0" style="104" hidden="1" customWidth="1"/>
    <col min="7948" max="7948" width="13.33203125" style="104" customWidth="1"/>
    <col min="7949" max="7949" width="50.44140625" style="104" bestFit="1" customWidth="1"/>
    <col min="7950" max="7950" width="95.109375" style="104" customWidth="1"/>
    <col min="7951" max="8192" width="9.109375" style="104"/>
    <col min="8193" max="8193" width="10.88671875" style="104" customWidth="1"/>
    <col min="8194" max="8194" width="9.109375" style="104"/>
    <col min="8195" max="8195" width="32.44140625" style="104" customWidth="1"/>
    <col min="8196" max="8196" width="9.109375" style="104"/>
    <col min="8197" max="8197" width="3.33203125" style="104" customWidth="1"/>
    <col min="8198" max="8198" width="9.109375" style="104"/>
    <col min="8199" max="8199" width="10.109375" style="104" customWidth="1"/>
    <col min="8200" max="8200" width="9.44140625" style="104" customWidth="1"/>
    <col min="8201" max="8203" width="0" style="104" hidden="1" customWidth="1"/>
    <col min="8204" max="8204" width="13.33203125" style="104" customWidth="1"/>
    <col min="8205" max="8205" width="50.44140625" style="104" bestFit="1" customWidth="1"/>
    <col min="8206" max="8206" width="95.109375" style="104" customWidth="1"/>
    <col min="8207" max="8448" width="9.109375" style="104"/>
    <col min="8449" max="8449" width="10.88671875" style="104" customWidth="1"/>
    <col min="8450" max="8450" width="9.109375" style="104"/>
    <col min="8451" max="8451" width="32.44140625" style="104" customWidth="1"/>
    <col min="8452" max="8452" width="9.109375" style="104"/>
    <col min="8453" max="8453" width="3.33203125" style="104" customWidth="1"/>
    <col min="8454" max="8454" width="9.109375" style="104"/>
    <col min="8455" max="8455" width="10.109375" style="104" customWidth="1"/>
    <col min="8456" max="8456" width="9.44140625" style="104" customWidth="1"/>
    <col min="8457" max="8459" width="0" style="104" hidden="1" customWidth="1"/>
    <col min="8460" max="8460" width="13.33203125" style="104" customWidth="1"/>
    <col min="8461" max="8461" width="50.44140625" style="104" bestFit="1" customWidth="1"/>
    <col min="8462" max="8462" width="95.109375" style="104" customWidth="1"/>
    <col min="8463" max="8704" width="9.109375" style="104"/>
    <col min="8705" max="8705" width="10.88671875" style="104" customWidth="1"/>
    <col min="8706" max="8706" width="9.109375" style="104"/>
    <col min="8707" max="8707" width="32.44140625" style="104" customWidth="1"/>
    <col min="8708" max="8708" width="9.109375" style="104"/>
    <col min="8709" max="8709" width="3.33203125" style="104" customWidth="1"/>
    <col min="8710" max="8710" width="9.109375" style="104"/>
    <col min="8711" max="8711" width="10.109375" style="104" customWidth="1"/>
    <col min="8712" max="8712" width="9.44140625" style="104" customWidth="1"/>
    <col min="8713" max="8715" width="0" style="104" hidden="1" customWidth="1"/>
    <col min="8716" max="8716" width="13.33203125" style="104" customWidth="1"/>
    <col min="8717" max="8717" width="50.44140625" style="104" bestFit="1" customWidth="1"/>
    <col min="8718" max="8718" width="95.109375" style="104" customWidth="1"/>
    <col min="8719" max="8960" width="9.109375" style="104"/>
    <col min="8961" max="8961" width="10.88671875" style="104" customWidth="1"/>
    <col min="8962" max="8962" width="9.109375" style="104"/>
    <col min="8963" max="8963" width="32.44140625" style="104" customWidth="1"/>
    <col min="8964" max="8964" width="9.109375" style="104"/>
    <col min="8965" max="8965" width="3.33203125" style="104" customWidth="1"/>
    <col min="8966" max="8966" width="9.109375" style="104"/>
    <col min="8967" max="8967" width="10.109375" style="104" customWidth="1"/>
    <col min="8968" max="8968" width="9.44140625" style="104" customWidth="1"/>
    <col min="8969" max="8971" width="0" style="104" hidden="1" customWidth="1"/>
    <col min="8972" max="8972" width="13.33203125" style="104" customWidth="1"/>
    <col min="8973" max="8973" width="50.44140625" style="104" bestFit="1" customWidth="1"/>
    <col min="8974" max="8974" width="95.109375" style="104" customWidth="1"/>
    <col min="8975" max="9216" width="9.109375" style="104"/>
    <col min="9217" max="9217" width="10.88671875" style="104" customWidth="1"/>
    <col min="9218" max="9218" width="9.109375" style="104"/>
    <col min="9219" max="9219" width="32.44140625" style="104" customWidth="1"/>
    <col min="9220" max="9220" width="9.109375" style="104"/>
    <col min="9221" max="9221" width="3.33203125" style="104" customWidth="1"/>
    <col min="9222" max="9222" width="9.109375" style="104"/>
    <col min="9223" max="9223" width="10.109375" style="104" customWidth="1"/>
    <col min="9224" max="9224" width="9.44140625" style="104" customWidth="1"/>
    <col min="9225" max="9227" width="0" style="104" hidden="1" customWidth="1"/>
    <col min="9228" max="9228" width="13.33203125" style="104" customWidth="1"/>
    <col min="9229" max="9229" width="50.44140625" style="104" bestFit="1" customWidth="1"/>
    <col min="9230" max="9230" width="95.109375" style="104" customWidth="1"/>
    <col min="9231" max="9472" width="9.109375" style="104"/>
    <col min="9473" max="9473" width="10.88671875" style="104" customWidth="1"/>
    <col min="9474" max="9474" width="9.109375" style="104"/>
    <col min="9475" max="9475" width="32.44140625" style="104" customWidth="1"/>
    <col min="9476" max="9476" width="9.109375" style="104"/>
    <col min="9477" max="9477" width="3.33203125" style="104" customWidth="1"/>
    <col min="9478" max="9478" width="9.109375" style="104"/>
    <col min="9479" max="9479" width="10.109375" style="104" customWidth="1"/>
    <col min="9480" max="9480" width="9.44140625" style="104" customWidth="1"/>
    <col min="9481" max="9483" width="0" style="104" hidden="1" customWidth="1"/>
    <col min="9484" max="9484" width="13.33203125" style="104" customWidth="1"/>
    <col min="9485" max="9485" width="50.44140625" style="104" bestFit="1" customWidth="1"/>
    <col min="9486" max="9486" width="95.109375" style="104" customWidth="1"/>
    <col min="9487" max="9728" width="9.109375" style="104"/>
    <col min="9729" max="9729" width="10.88671875" style="104" customWidth="1"/>
    <col min="9730" max="9730" width="9.109375" style="104"/>
    <col min="9731" max="9731" width="32.44140625" style="104" customWidth="1"/>
    <col min="9732" max="9732" width="9.109375" style="104"/>
    <col min="9733" max="9733" width="3.33203125" style="104" customWidth="1"/>
    <col min="9734" max="9734" width="9.109375" style="104"/>
    <col min="9735" max="9735" width="10.109375" style="104" customWidth="1"/>
    <col min="9736" max="9736" width="9.44140625" style="104" customWidth="1"/>
    <col min="9737" max="9739" width="0" style="104" hidden="1" customWidth="1"/>
    <col min="9740" max="9740" width="13.33203125" style="104" customWidth="1"/>
    <col min="9741" max="9741" width="50.44140625" style="104" bestFit="1" customWidth="1"/>
    <col min="9742" max="9742" width="95.109375" style="104" customWidth="1"/>
    <col min="9743" max="9984" width="9.109375" style="104"/>
    <col min="9985" max="9985" width="10.88671875" style="104" customWidth="1"/>
    <col min="9986" max="9986" width="9.109375" style="104"/>
    <col min="9987" max="9987" width="32.44140625" style="104" customWidth="1"/>
    <col min="9988" max="9988" width="9.109375" style="104"/>
    <col min="9989" max="9989" width="3.33203125" style="104" customWidth="1"/>
    <col min="9990" max="9990" width="9.109375" style="104"/>
    <col min="9991" max="9991" width="10.109375" style="104" customWidth="1"/>
    <col min="9992" max="9992" width="9.44140625" style="104" customWidth="1"/>
    <col min="9993" max="9995" width="0" style="104" hidden="1" customWidth="1"/>
    <col min="9996" max="9996" width="13.33203125" style="104" customWidth="1"/>
    <col min="9997" max="9997" width="50.44140625" style="104" bestFit="1" customWidth="1"/>
    <col min="9998" max="9998" width="95.109375" style="104" customWidth="1"/>
    <col min="9999" max="10240" width="9.109375" style="104"/>
    <col min="10241" max="10241" width="10.88671875" style="104" customWidth="1"/>
    <col min="10242" max="10242" width="9.109375" style="104"/>
    <col min="10243" max="10243" width="32.44140625" style="104" customWidth="1"/>
    <col min="10244" max="10244" width="9.109375" style="104"/>
    <col min="10245" max="10245" width="3.33203125" style="104" customWidth="1"/>
    <col min="10246" max="10246" width="9.109375" style="104"/>
    <col min="10247" max="10247" width="10.109375" style="104" customWidth="1"/>
    <col min="10248" max="10248" width="9.44140625" style="104" customWidth="1"/>
    <col min="10249" max="10251" width="0" style="104" hidden="1" customWidth="1"/>
    <col min="10252" max="10252" width="13.33203125" style="104" customWidth="1"/>
    <col min="10253" max="10253" width="50.44140625" style="104" bestFit="1" customWidth="1"/>
    <col min="10254" max="10254" width="95.109375" style="104" customWidth="1"/>
    <col min="10255" max="10496" width="9.109375" style="104"/>
    <col min="10497" max="10497" width="10.88671875" style="104" customWidth="1"/>
    <col min="10498" max="10498" width="9.109375" style="104"/>
    <col min="10499" max="10499" width="32.44140625" style="104" customWidth="1"/>
    <col min="10500" max="10500" width="9.109375" style="104"/>
    <col min="10501" max="10501" width="3.33203125" style="104" customWidth="1"/>
    <col min="10502" max="10502" width="9.109375" style="104"/>
    <col min="10503" max="10503" width="10.109375" style="104" customWidth="1"/>
    <col min="10504" max="10504" width="9.44140625" style="104" customWidth="1"/>
    <col min="10505" max="10507" width="0" style="104" hidden="1" customWidth="1"/>
    <col min="10508" max="10508" width="13.33203125" style="104" customWidth="1"/>
    <col min="10509" max="10509" width="50.44140625" style="104" bestFit="1" customWidth="1"/>
    <col min="10510" max="10510" width="95.109375" style="104" customWidth="1"/>
    <col min="10511" max="10752" width="9.109375" style="104"/>
    <col min="10753" max="10753" width="10.88671875" style="104" customWidth="1"/>
    <col min="10754" max="10754" width="9.109375" style="104"/>
    <col min="10755" max="10755" width="32.44140625" style="104" customWidth="1"/>
    <col min="10756" max="10756" width="9.109375" style="104"/>
    <col min="10757" max="10757" width="3.33203125" style="104" customWidth="1"/>
    <col min="10758" max="10758" width="9.109375" style="104"/>
    <col min="10759" max="10759" width="10.109375" style="104" customWidth="1"/>
    <col min="10760" max="10760" width="9.44140625" style="104" customWidth="1"/>
    <col min="10761" max="10763" width="0" style="104" hidden="1" customWidth="1"/>
    <col min="10764" max="10764" width="13.33203125" style="104" customWidth="1"/>
    <col min="10765" max="10765" width="50.44140625" style="104" bestFit="1" customWidth="1"/>
    <col min="10766" max="10766" width="95.109375" style="104" customWidth="1"/>
    <col min="10767" max="11008" width="9.109375" style="104"/>
    <col min="11009" max="11009" width="10.88671875" style="104" customWidth="1"/>
    <col min="11010" max="11010" width="9.109375" style="104"/>
    <col min="11011" max="11011" width="32.44140625" style="104" customWidth="1"/>
    <col min="11012" max="11012" width="9.109375" style="104"/>
    <col min="11013" max="11013" width="3.33203125" style="104" customWidth="1"/>
    <col min="11014" max="11014" width="9.109375" style="104"/>
    <col min="11015" max="11015" width="10.109375" style="104" customWidth="1"/>
    <col min="11016" max="11016" width="9.44140625" style="104" customWidth="1"/>
    <col min="11017" max="11019" width="0" style="104" hidden="1" customWidth="1"/>
    <col min="11020" max="11020" width="13.33203125" style="104" customWidth="1"/>
    <col min="11021" max="11021" width="50.44140625" style="104" bestFit="1" customWidth="1"/>
    <col min="11022" max="11022" width="95.109375" style="104" customWidth="1"/>
    <col min="11023" max="11264" width="9.109375" style="104"/>
    <col min="11265" max="11265" width="10.88671875" style="104" customWidth="1"/>
    <col min="11266" max="11266" width="9.109375" style="104"/>
    <col min="11267" max="11267" width="32.44140625" style="104" customWidth="1"/>
    <col min="11268" max="11268" width="9.109375" style="104"/>
    <col min="11269" max="11269" width="3.33203125" style="104" customWidth="1"/>
    <col min="11270" max="11270" width="9.109375" style="104"/>
    <col min="11271" max="11271" width="10.109375" style="104" customWidth="1"/>
    <col min="11272" max="11272" width="9.44140625" style="104" customWidth="1"/>
    <col min="11273" max="11275" width="0" style="104" hidden="1" customWidth="1"/>
    <col min="11276" max="11276" width="13.33203125" style="104" customWidth="1"/>
    <col min="11277" max="11277" width="50.44140625" style="104" bestFit="1" customWidth="1"/>
    <col min="11278" max="11278" width="95.109375" style="104" customWidth="1"/>
    <col min="11279" max="11520" width="9.109375" style="104"/>
    <col min="11521" max="11521" width="10.88671875" style="104" customWidth="1"/>
    <col min="11522" max="11522" width="9.109375" style="104"/>
    <col min="11523" max="11523" width="32.44140625" style="104" customWidth="1"/>
    <col min="11524" max="11524" width="9.109375" style="104"/>
    <col min="11525" max="11525" width="3.33203125" style="104" customWidth="1"/>
    <col min="11526" max="11526" width="9.109375" style="104"/>
    <col min="11527" max="11527" width="10.109375" style="104" customWidth="1"/>
    <col min="11528" max="11528" width="9.44140625" style="104" customWidth="1"/>
    <col min="11529" max="11531" width="0" style="104" hidden="1" customWidth="1"/>
    <col min="11532" max="11532" width="13.33203125" style="104" customWidth="1"/>
    <col min="11533" max="11533" width="50.44140625" style="104" bestFit="1" customWidth="1"/>
    <col min="11534" max="11534" width="95.109375" style="104" customWidth="1"/>
    <col min="11535" max="11776" width="9.109375" style="104"/>
    <col min="11777" max="11777" width="10.88671875" style="104" customWidth="1"/>
    <col min="11778" max="11778" width="9.109375" style="104"/>
    <col min="11779" max="11779" width="32.44140625" style="104" customWidth="1"/>
    <col min="11780" max="11780" width="9.109375" style="104"/>
    <col min="11781" max="11781" width="3.33203125" style="104" customWidth="1"/>
    <col min="11782" max="11782" width="9.109375" style="104"/>
    <col min="11783" max="11783" width="10.109375" style="104" customWidth="1"/>
    <col min="11784" max="11784" width="9.44140625" style="104" customWidth="1"/>
    <col min="11785" max="11787" width="0" style="104" hidden="1" customWidth="1"/>
    <col min="11788" max="11788" width="13.33203125" style="104" customWidth="1"/>
    <col min="11789" max="11789" width="50.44140625" style="104" bestFit="1" customWidth="1"/>
    <col min="11790" max="11790" width="95.109375" style="104" customWidth="1"/>
    <col min="11791" max="12032" width="9.109375" style="104"/>
    <col min="12033" max="12033" width="10.88671875" style="104" customWidth="1"/>
    <col min="12034" max="12034" width="9.109375" style="104"/>
    <col min="12035" max="12035" width="32.44140625" style="104" customWidth="1"/>
    <col min="12036" max="12036" width="9.109375" style="104"/>
    <col min="12037" max="12037" width="3.33203125" style="104" customWidth="1"/>
    <col min="12038" max="12038" width="9.109375" style="104"/>
    <col min="12039" max="12039" width="10.109375" style="104" customWidth="1"/>
    <col min="12040" max="12040" width="9.44140625" style="104" customWidth="1"/>
    <col min="12041" max="12043" width="0" style="104" hidden="1" customWidth="1"/>
    <col min="12044" max="12044" width="13.33203125" style="104" customWidth="1"/>
    <col min="12045" max="12045" width="50.44140625" style="104" bestFit="1" customWidth="1"/>
    <col min="12046" max="12046" width="95.109375" style="104" customWidth="1"/>
    <col min="12047" max="12288" width="9.109375" style="104"/>
    <col min="12289" max="12289" width="10.88671875" style="104" customWidth="1"/>
    <col min="12290" max="12290" width="9.109375" style="104"/>
    <col min="12291" max="12291" width="32.44140625" style="104" customWidth="1"/>
    <col min="12292" max="12292" width="9.109375" style="104"/>
    <col min="12293" max="12293" width="3.33203125" style="104" customWidth="1"/>
    <col min="12294" max="12294" width="9.109375" style="104"/>
    <col min="12295" max="12295" width="10.109375" style="104" customWidth="1"/>
    <col min="12296" max="12296" width="9.44140625" style="104" customWidth="1"/>
    <col min="12297" max="12299" width="0" style="104" hidden="1" customWidth="1"/>
    <col min="12300" max="12300" width="13.33203125" style="104" customWidth="1"/>
    <col min="12301" max="12301" width="50.44140625" style="104" bestFit="1" customWidth="1"/>
    <col min="12302" max="12302" width="95.109375" style="104" customWidth="1"/>
    <col min="12303" max="12544" width="9.109375" style="104"/>
    <col min="12545" max="12545" width="10.88671875" style="104" customWidth="1"/>
    <col min="12546" max="12546" width="9.109375" style="104"/>
    <col min="12547" max="12547" width="32.44140625" style="104" customWidth="1"/>
    <col min="12548" max="12548" width="9.109375" style="104"/>
    <col min="12549" max="12549" width="3.33203125" style="104" customWidth="1"/>
    <col min="12550" max="12550" width="9.109375" style="104"/>
    <col min="12551" max="12551" width="10.109375" style="104" customWidth="1"/>
    <col min="12552" max="12552" width="9.44140625" style="104" customWidth="1"/>
    <col min="12553" max="12555" width="0" style="104" hidden="1" customWidth="1"/>
    <col min="12556" max="12556" width="13.33203125" style="104" customWidth="1"/>
    <col min="12557" max="12557" width="50.44140625" style="104" bestFit="1" customWidth="1"/>
    <col min="12558" max="12558" width="95.109375" style="104" customWidth="1"/>
    <col min="12559" max="12800" width="9.109375" style="104"/>
    <col min="12801" max="12801" width="10.88671875" style="104" customWidth="1"/>
    <col min="12802" max="12802" width="9.109375" style="104"/>
    <col min="12803" max="12803" width="32.44140625" style="104" customWidth="1"/>
    <col min="12804" max="12804" width="9.109375" style="104"/>
    <col min="12805" max="12805" width="3.33203125" style="104" customWidth="1"/>
    <col min="12806" max="12806" width="9.109375" style="104"/>
    <col min="12807" max="12807" width="10.109375" style="104" customWidth="1"/>
    <col min="12808" max="12808" width="9.44140625" style="104" customWidth="1"/>
    <col min="12809" max="12811" width="0" style="104" hidden="1" customWidth="1"/>
    <col min="12812" max="12812" width="13.33203125" style="104" customWidth="1"/>
    <col min="12813" max="12813" width="50.44140625" style="104" bestFit="1" customWidth="1"/>
    <col min="12814" max="12814" width="95.109375" style="104" customWidth="1"/>
    <col min="12815" max="13056" width="9.109375" style="104"/>
    <col min="13057" max="13057" width="10.88671875" style="104" customWidth="1"/>
    <col min="13058" max="13058" width="9.109375" style="104"/>
    <col min="13059" max="13059" width="32.44140625" style="104" customWidth="1"/>
    <col min="13060" max="13060" width="9.109375" style="104"/>
    <col min="13061" max="13061" width="3.33203125" style="104" customWidth="1"/>
    <col min="13062" max="13062" width="9.109375" style="104"/>
    <col min="13063" max="13063" width="10.109375" style="104" customWidth="1"/>
    <col min="13064" max="13064" width="9.44140625" style="104" customWidth="1"/>
    <col min="13065" max="13067" width="0" style="104" hidden="1" customWidth="1"/>
    <col min="13068" max="13068" width="13.33203125" style="104" customWidth="1"/>
    <col min="13069" max="13069" width="50.44140625" style="104" bestFit="1" customWidth="1"/>
    <col min="13070" max="13070" width="95.109375" style="104" customWidth="1"/>
    <col min="13071" max="13312" width="9.109375" style="104"/>
    <col min="13313" max="13313" width="10.88671875" style="104" customWidth="1"/>
    <col min="13314" max="13314" width="9.109375" style="104"/>
    <col min="13315" max="13315" width="32.44140625" style="104" customWidth="1"/>
    <col min="13316" max="13316" width="9.109375" style="104"/>
    <col min="13317" max="13317" width="3.33203125" style="104" customWidth="1"/>
    <col min="13318" max="13318" width="9.109375" style="104"/>
    <col min="13319" max="13319" width="10.109375" style="104" customWidth="1"/>
    <col min="13320" max="13320" width="9.44140625" style="104" customWidth="1"/>
    <col min="13321" max="13323" width="0" style="104" hidden="1" customWidth="1"/>
    <col min="13324" max="13324" width="13.33203125" style="104" customWidth="1"/>
    <col min="13325" max="13325" width="50.44140625" style="104" bestFit="1" customWidth="1"/>
    <col min="13326" max="13326" width="95.109375" style="104" customWidth="1"/>
    <col min="13327" max="13568" width="9.109375" style="104"/>
    <col min="13569" max="13569" width="10.88671875" style="104" customWidth="1"/>
    <col min="13570" max="13570" width="9.109375" style="104"/>
    <col min="13571" max="13571" width="32.44140625" style="104" customWidth="1"/>
    <col min="13572" max="13572" width="9.109375" style="104"/>
    <col min="13573" max="13573" width="3.33203125" style="104" customWidth="1"/>
    <col min="13574" max="13574" width="9.109375" style="104"/>
    <col min="13575" max="13575" width="10.109375" style="104" customWidth="1"/>
    <col min="13576" max="13576" width="9.44140625" style="104" customWidth="1"/>
    <col min="13577" max="13579" width="0" style="104" hidden="1" customWidth="1"/>
    <col min="13580" max="13580" width="13.33203125" style="104" customWidth="1"/>
    <col min="13581" max="13581" width="50.44140625" style="104" bestFit="1" customWidth="1"/>
    <col min="13582" max="13582" width="95.109375" style="104" customWidth="1"/>
    <col min="13583" max="13824" width="9.109375" style="104"/>
    <col min="13825" max="13825" width="10.88671875" style="104" customWidth="1"/>
    <col min="13826" max="13826" width="9.109375" style="104"/>
    <col min="13827" max="13827" width="32.44140625" style="104" customWidth="1"/>
    <col min="13828" max="13828" width="9.109375" style="104"/>
    <col min="13829" max="13829" width="3.33203125" style="104" customWidth="1"/>
    <col min="13830" max="13830" width="9.109375" style="104"/>
    <col min="13831" max="13831" width="10.109375" style="104" customWidth="1"/>
    <col min="13832" max="13832" width="9.44140625" style="104" customWidth="1"/>
    <col min="13833" max="13835" width="0" style="104" hidden="1" customWidth="1"/>
    <col min="13836" max="13836" width="13.33203125" style="104" customWidth="1"/>
    <col min="13837" max="13837" width="50.44140625" style="104" bestFit="1" customWidth="1"/>
    <col min="13838" max="13838" width="95.109375" style="104" customWidth="1"/>
    <col min="13839" max="14080" width="9.109375" style="104"/>
    <col min="14081" max="14081" width="10.88671875" style="104" customWidth="1"/>
    <col min="14082" max="14082" width="9.109375" style="104"/>
    <col min="14083" max="14083" width="32.44140625" style="104" customWidth="1"/>
    <col min="14084" max="14084" width="9.109375" style="104"/>
    <col min="14085" max="14085" width="3.33203125" style="104" customWidth="1"/>
    <col min="14086" max="14086" width="9.109375" style="104"/>
    <col min="14087" max="14087" width="10.109375" style="104" customWidth="1"/>
    <col min="14088" max="14088" width="9.44140625" style="104" customWidth="1"/>
    <col min="14089" max="14091" width="0" style="104" hidden="1" customWidth="1"/>
    <col min="14092" max="14092" width="13.33203125" style="104" customWidth="1"/>
    <col min="14093" max="14093" width="50.44140625" style="104" bestFit="1" customWidth="1"/>
    <col min="14094" max="14094" width="95.109375" style="104" customWidth="1"/>
    <col min="14095" max="14336" width="9.109375" style="104"/>
    <col min="14337" max="14337" width="10.88671875" style="104" customWidth="1"/>
    <col min="14338" max="14338" width="9.109375" style="104"/>
    <col min="14339" max="14339" width="32.44140625" style="104" customWidth="1"/>
    <col min="14340" max="14340" width="9.109375" style="104"/>
    <col min="14341" max="14341" width="3.33203125" style="104" customWidth="1"/>
    <col min="14342" max="14342" width="9.109375" style="104"/>
    <col min="14343" max="14343" width="10.109375" style="104" customWidth="1"/>
    <col min="14344" max="14344" width="9.44140625" style="104" customWidth="1"/>
    <col min="14345" max="14347" width="0" style="104" hidden="1" customWidth="1"/>
    <col min="14348" max="14348" width="13.33203125" style="104" customWidth="1"/>
    <col min="14349" max="14349" width="50.44140625" style="104" bestFit="1" customWidth="1"/>
    <col min="14350" max="14350" width="95.109375" style="104" customWidth="1"/>
    <col min="14351" max="14592" width="9.109375" style="104"/>
    <col min="14593" max="14593" width="10.88671875" style="104" customWidth="1"/>
    <col min="14594" max="14594" width="9.109375" style="104"/>
    <col min="14595" max="14595" width="32.44140625" style="104" customWidth="1"/>
    <col min="14596" max="14596" width="9.109375" style="104"/>
    <col min="14597" max="14597" width="3.33203125" style="104" customWidth="1"/>
    <col min="14598" max="14598" width="9.109375" style="104"/>
    <col min="14599" max="14599" width="10.109375" style="104" customWidth="1"/>
    <col min="14600" max="14600" width="9.44140625" style="104" customWidth="1"/>
    <col min="14601" max="14603" width="0" style="104" hidden="1" customWidth="1"/>
    <col min="14604" max="14604" width="13.33203125" style="104" customWidth="1"/>
    <col min="14605" max="14605" width="50.44140625" style="104" bestFit="1" customWidth="1"/>
    <col min="14606" max="14606" width="95.109375" style="104" customWidth="1"/>
    <col min="14607" max="14848" width="9.109375" style="104"/>
    <col min="14849" max="14849" width="10.88671875" style="104" customWidth="1"/>
    <col min="14850" max="14850" width="9.109375" style="104"/>
    <col min="14851" max="14851" width="32.44140625" style="104" customWidth="1"/>
    <col min="14852" max="14852" width="9.109375" style="104"/>
    <col min="14853" max="14853" width="3.33203125" style="104" customWidth="1"/>
    <col min="14854" max="14854" width="9.109375" style="104"/>
    <col min="14855" max="14855" width="10.109375" style="104" customWidth="1"/>
    <col min="14856" max="14856" width="9.44140625" style="104" customWidth="1"/>
    <col min="14857" max="14859" width="0" style="104" hidden="1" customWidth="1"/>
    <col min="14860" max="14860" width="13.33203125" style="104" customWidth="1"/>
    <col min="14861" max="14861" width="50.44140625" style="104" bestFit="1" customWidth="1"/>
    <col min="14862" max="14862" width="95.109375" style="104" customWidth="1"/>
    <col min="14863" max="15104" width="9.109375" style="104"/>
    <col min="15105" max="15105" width="10.88671875" style="104" customWidth="1"/>
    <col min="15106" max="15106" width="9.109375" style="104"/>
    <col min="15107" max="15107" width="32.44140625" style="104" customWidth="1"/>
    <col min="15108" max="15108" width="9.109375" style="104"/>
    <col min="15109" max="15109" width="3.33203125" style="104" customWidth="1"/>
    <col min="15110" max="15110" width="9.109375" style="104"/>
    <col min="15111" max="15111" width="10.109375" style="104" customWidth="1"/>
    <col min="15112" max="15112" width="9.44140625" style="104" customWidth="1"/>
    <col min="15113" max="15115" width="0" style="104" hidden="1" customWidth="1"/>
    <col min="15116" max="15116" width="13.33203125" style="104" customWidth="1"/>
    <col min="15117" max="15117" width="50.44140625" style="104" bestFit="1" customWidth="1"/>
    <col min="15118" max="15118" width="95.109375" style="104" customWidth="1"/>
    <col min="15119" max="15360" width="9.109375" style="104"/>
    <col min="15361" max="15361" width="10.88671875" style="104" customWidth="1"/>
    <col min="15362" max="15362" width="9.109375" style="104"/>
    <col min="15363" max="15363" width="32.44140625" style="104" customWidth="1"/>
    <col min="15364" max="15364" width="9.109375" style="104"/>
    <col min="15365" max="15365" width="3.33203125" style="104" customWidth="1"/>
    <col min="15366" max="15366" width="9.109375" style="104"/>
    <col min="15367" max="15367" width="10.109375" style="104" customWidth="1"/>
    <col min="15368" max="15368" width="9.44140625" style="104" customWidth="1"/>
    <col min="15369" max="15371" width="0" style="104" hidden="1" customWidth="1"/>
    <col min="15372" max="15372" width="13.33203125" style="104" customWidth="1"/>
    <col min="15373" max="15373" width="50.44140625" style="104" bestFit="1" customWidth="1"/>
    <col min="15374" max="15374" width="95.109375" style="104" customWidth="1"/>
    <col min="15375" max="15616" width="9.109375" style="104"/>
    <col min="15617" max="15617" width="10.88671875" style="104" customWidth="1"/>
    <col min="15618" max="15618" width="9.109375" style="104"/>
    <col min="15619" max="15619" width="32.44140625" style="104" customWidth="1"/>
    <col min="15620" max="15620" width="9.109375" style="104"/>
    <col min="15621" max="15621" width="3.33203125" style="104" customWidth="1"/>
    <col min="15622" max="15622" width="9.109375" style="104"/>
    <col min="15623" max="15623" width="10.109375" style="104" customWidth="1"/>
    <col min="15624" max="15624" width="9.44140625" style="104" customWidth="1"/>
    <col min="15625" max="15627" width="0" style="104" hidden="1" customWidth="1"/>
    <col min="15628" max="15628" width="13.33203125" style="104" customWidth="1"/>
    <col min="15629" max="15629" width="50.44140625" style="104" bestFit="1" customWidth="1"/>
    <col min="15630" max="15630" width="95.109375" style="104" customWidth="1"/>
    <col min="15631" max="15872" width="9.109375" style="104"/>
    <col min="15873" max="15873" width="10.88671875" style="104" customWidth="1"/>
    <col min="15874" max="15874" width="9.109375" style="104"/>
    <col min="15875" max="15875" width="32.44140625" style="104" customWidth="1"/>
    <col min="15876" max="15876" width="9.109375" style="104"/>
    <col min="15877" max="15877" width="3.33203125" style="104" customWidth="1"/>
    <col min="15878" max="15878" width="9.109375" style="104"/>
    <col min="15879" max="15879" width="10.109375" style="104" customWidth="1"/>
    <col min="15880" max="15880" width="9.44140625" style="104" customWidth="1"/>
    <col min="15881" max="15883" width="0" style="104" hidden="1" customWidth="1"/>
    <col min="15884" max="15884" width="13.33203125" style="104" customWidth="1"/>
    <col min="15885" max="15885" width="50.44140625" style="104" bestFit="1" customWidth="1"/>
    <col min="15886" max="15886" width="95.109375" style="104" customWidth="1"/>
    <col min="15887" max="16128" width="9.109375" style="104"/>
    <col min="16129" max="16129" width="10.88671875" style="104" customWidth="1"/>
    <col min="16130" max="16130" width="9.109375" style="104"/>
    <col min="16131" max="16131" width="32.44140625" style="104" customWidth="1"/>
    <col min="16132" max="16132" width="9.109375" style="104"/>
    <col min="16133" max="16133" width="3.33203125" style="104" customWidth="1"/>
    <col min="16134" max="16134" width="9.109375" style="104"/>
    <col min="16135" max="16135" width="10.109375" style="104" customWidth="1"/>
    <col min="16136" max="16136" width="9.44140625" style="104" customWidth="1"/>
    <col min="16137" max="16139" width="0" style="104" hidden="1" customWidth="1"/>
    <col min="16140" max="16140" width="13.33203125" style="104" customWidth="1"/>
    <col min="16141" max="16141" width="50.44140625" style="104" bestFit="1" customWidth="1"/>
    <col min="16142" max="16142" width="95.109375" style="104" customWidth="1"/>
    <col min="16143" max="16384" width="9.109375" style="104"/>
  </cols>
  <sheetData>
    <row r="1" spans="1:17" ht="17.399999999999999" x14ac:dyDescent="0.25">
      <c r="A1" s="294" t="s">
        <v>142</v>
      </c>
      <c r="B1" s="295"/>
      <c r="C1" s="295"/>
      <c r="D1" s="295"/>
      <c r="E1" s="295"/>
      <c r="F1" s="295"/>
      <c r="G1" s="295"/>
      <c r="H1" s="295"/>
      <c r="I1" s="295"/>
      <c r="J1" s="295"/>
      <c r="K1" s="295"/>
      <c r="L1" s="100"/>
    </row>
    <row r="2" spans="1:17" ht="15.6" x14ac:dyDescent="0.25">
      <c r="A2" s="105" t="s">
        <v>143</v>
      </c>
      <c r="B2" s="287"/>
      <c r="C2" s="106" t="s">
        <v>144</v>
      </c>
      <c r="D2" s="287"/>
      <c r="E2" s="287"/>
      <c r="F2" s="287"/>
      <c r="G2" s="287"/>
      <c r="H2" s="287"/>
      <c r="I2" s="287"/>
      <c r="J2" s="287"/>
      <c r="K2" s="287"/>
      <c r="L2" s="100"/>
    </row>
    <row r="3" spans="1:17" ht="15.6" x14ac:dyDescent="0.25">
      <c r="A3" s="105" t="s">
        <v>145</v>
      </c>
      <c r="C3" s="107" t="s">
        <v>146</v>
      </c>
      <c r="L3" s="100"/>
    </row>
    <row r="4" spans="1:17" x14ac:dyDescent="0.25">
      <c r="A4" s="108" t="s">
        <v>147</v>
      </c>
    </row>
    <row r="5" spans="1:17" ht="81" customHeight="1" x14ac:dyDescent="0.4">
      <c r="A5" s="299" t="s">
        <v>148</v>
      </c>
      <c r="B5" s="300"/>
      <c r="C5" s="300"/>
      <c r="D5" s="300"/>
      <c r="E5" s="300"/>
      <c r="F5" s="300"/>
      <c r="G5" s="300"/>
      <c r="H5" s="300"/>
      <c r="I5" s="301"/>
      <c r="J5" s="301"/>
      <c r="K5" s="301"/>
      <c r="L5" s="301"/>
      <c r="M5" s="301"/>
      <c r="N5" s="301"/>
      <c r="Q5" s="210" t="s">
        <v>149</v>
      </c>
    </row>
    <row r="6" spans="1:17" x14ac:dyDescent="0.25">
      <c r="A6" s="109"/>
      <c r="D6" s="110"/>
      <c r="F6" s="110"/>
      <c r="N6" s="111"/>
    </row>
    <row r="7" spans="1:17" ht="55.2" x14ac:dyDescent="0.25">
      <c r="D7" s="112" t="s">
        <v>150</v>
      </c>
      <c r="E7" s="111"/>
      <c r="F7" s="112" t="s">
        <v>151</v>
      </c>
      <c r="G7" s="112" t="s">
        <v>152</v>
      </c>
      <c r="H7" s="112" t="s">
        <v>152</v>
      </c>
      <c r="I7" s="112"/>
      <c r="J7" s="112"/>
      <c r="K7" s="112"/>
      <c r="L7" s="113" t="s">
        <v>153</v>
      </c>
      <c r="M7" s="114" t="s">
        <v>154</v>
      </c>
      <c r="N7" s="115" t="s">
        <v>155</v>
      </c>
    </row>
    <row r="8" spans="1:17" x14ac:dyDescent="0.25">
      <c r="D8" s="112" t="s">
        <v>96</v>
      </c>
      <c r="E8" s="111"/>
      <c r="F8" s="112" t="s">
        <v>96</v>
      </c>
      <c r="G8" s="112" t="s">
        <v>96</v>
      </c>
      <c r="H8" s="112" t="s">
        <v>156</v>
      </c>
      <c r="I8" s="112"/>
      <c r="J8" s="112"/>
      <c r="K8" s="111"/>
      <c r="L8" s="111"/>
      <c r="N8" s="103"/>
    </row>
    <row r="9" spans="1:17" ht="14.4" thickBot="1" x14ac:dyDescent="0.3">
      <c r="D9" s="110"/>
      <c r="E9" s="110"/>
      <c r="N9" s="103"/>
    </row>
    <row r="10" spans="1:17" ht="55.8" thickBot="1" x14ac:dyDescent="0.3">
      <c r="A10" s="295" t="s">
        <v>157</v>
      </c>
      <c r="B10" s="295"/>
      <c r="C10" s="295"/>
      <c r="D10" s="116">
        <v>16316</v>
      </c>
      <c r="F10" s="116">
        <f>'Cash Book 2022-23'!F7+'Cash Book 2022-23'!F53</f>
        <v>15246.31</v>
      </c>
      <c r="G10" s="117"/>
      <c r="M10" s="114" t="str">
        <f>IF(F10=D22,"Explanation of % variance from PY opening balance not required - Balance brought forward agrees","Explanation of % variance from PY opening balance not required - Balance brought forward does not agree, query this")</f>
        <v>Explanation of % variance from PY opening balance not required - Balance brought forward does not agree, query this</v>
      </c>
      <c r="N10" s="118"/>
    </row>
    <row r="11" spans="1:17" ht="14.4" thickBot="1" x14ac:dyDescent="0.3">
      <c r="D11" s="117"/>
      <c r="F11" s="117"/>
      <c r="N11" s="103"/>
    </row>
    <row r="12" spans="1:17" ht="14.4" thickBot="1" x14ac:dyDescent="0.3">
      <c r="A12" s="296" t="s">
        <v>158</v>
      </c>
      <c r="B12" s="297"/>
      <c r="C12" s="298"/>
      <c r="D12" s="116">
        <v>5250</v>
      </c>
      <c r="F12" s="116">
        <f>-'Cash Book 2022-23'!G58</f>
        <v>5775</v>
      </c>
      <c r="G12" s="117">
        <f>F12-D12</f>
        <v>525</v>
      </c>
      <c r="H12" s="119">
        <f>IF((D12&gt;F12),(D12-F12)/D12,IF(D12&lt;F12,-(D12-F12)/D12,IF(D12=F12,0)))</f>
        <v>0.1</v>
      </c>
      <c r="I12" s="104">
        <f>IF(D12-F12&lt;200,0,IF(D12-F12&gt;200,1,IF(D12-F12=200,1)))</f>
        <v>0</v>
      </c>
      <c r="J12" s="104">
        <f>IF(F12-D12&lt;200,0,IF(F12-D12&gt;200,1,IF(F12-D12=200,1)))</f>
        <v>1</v>
      </c>
      <c r="K12" s="110">
        <f>IF(H12&lt;0.15,0,IF(H12&gt;0.15,1,IF(H12=0.15,1)))</f>
        <v>0</v>
      </c>
      <c r="L12" s="110" t="str">
        <f>IF((H12&lt;15%)*AND(G12&lt;100000), "NO","YES")</f>
        <v>NO</v>
      </c>
      <c r="M12" s="114" t="str">
        <f>IF((L12="YES")*AND(I12+J12&lt;1),"Explanation not required, difference less than £200"," ")</f>
        <v xml:space="preserve"> </v>
      </c>
      <c r="N12" s="118"/>
    </row>
    <row r="13" spans="1:17" ht="14.4" thickBot="1" x14ac:dyDescent="0.3">
      <c r="D13" s="117"/>
      <c r="F13" s="117"/>
      <c r="G13" s="117"/>
      <c r="H13" s="119"/>
      <c r="K13" s="110"/>
      <c r="L13" s="110"/>
      <c r="N13" s="103"/>
    </row>
    <row r="14" spans="1:17" ht="96.6" x14ac:dyDescent="0.25">
      <c r="A14" s="293" t="s">
        <v>159</v>
      </c>
      <c r="B14" s="293"/>
      <c r="C14" s="293"/>
      <c r="D14" s="116">
        <v>386</v>
      </c>
      <c r="F14" s="116">
        <f>-('Cash Book 2022-23'!H58)</f>
        <v>2628.4300000000003</v>
      </c>
      <c r="G14" s="117">
        <f>F14-D14</f>
        <v>2242.4300000000003</v>
      </c>
      <c r="H14" s="119">
        <f>IF((D14&gt;F14),(D14-F14)/D14,IF(D14&lt;F14,-(D14-F14)/D14,IF(D14=F14,0)))</f>
        <v>5.8094041450777212</v>
      </c>
      <c r="I14" s="104">
        <f>IF(D14-F14&lt;200,0,IF(D14-F14&gt;200,1,IF(D14-F14=200,1)))</f>
        <v>0</v>
      </c>
      <c r="J14" s="104">
        <f>IF(F14-D14&lt;200,0,IF(F14-D14&gt;200,1,IF(F14-D14=200,1)))</f>
        <v>1</v>
      </c>
      <c r="K14" s="110">
        <f>IF(H14&lt;0.15,0,IF(H14&gt;0.15,1,IF(H14=0.15,1)))</f>
        <v>1</v>
      </c>
      <c r="L14" s="110" t="str">
        <f>IF((H14&lt;15%)*AND(G14&lt;100000), "NO","YES")</f>
        <v>YES</v>
      </c>
      <c r="M14" s="114"/>
      <c r="N14" s="118" t="s">
        <v>160</v>
      </c>
    </row>
    <row r="15" spans="1:17" ht="14.4" thickBot="1" x14ac:dyDescent="0.3">
      <c r="D15" s="117"/>
      <c r="F15" s="117"/>
      <c r="G15" s="117"/>
      <c r="H15" s="119"/>
      <c r="K15" s="110"/>
      <c r="L15" s="110"/>
      <c r="N15" s="103"/>
    </row>
    <row r="16" spans="1:17" x14ac:dyDescent="0.25">
      <c r="A16" s="293" t="s">
        <v>161</v>
      </c>
      <c r="B16" s="293"/>
      <c r="C16" s="293"/>
      <c r="D16" s="116">
        <f>4658</f>
        <v>4658</v>
      </c>
      <c r="F16" s="116">
        <f>'Cash Book 2022-23'!K58</f>
        <v>2776.99</v>
      </c>
      <c r="G16" s="117">
        <f>F16-D16</f>
        <v>-1881.0100000000002</v>
      </c>
      <c r="H16" s="119">
        <f>IF((D16&gt;F16),(D16-F16)/D16,IF(D16&lt;F16,-(D16-F16)/D16,IF(D16=F16,0)))</f>
        <v>0.40382352941176475</v>
      </c>
      <c r="I16" s="104">
        <f>IF(D16-F16&lt;200,0,IF(D16-F16&gt;200,1,IF(D16-F16=200,1)))</f>
        <v>1</v>
      </c>
      <c r="J16" s="104">
        <f>IF(F16-D16&lt;200,0,IF(F16-D16&gt;200,1,IF(F16-D16=200,1)))</f>
        <v>0</v>
      </c>
      <c r="K16" s="110">
        <f>IF(H16&lt;0.15,0,IF(H16&gt;0.15,1,IF(H16=0.15,1)))</f>
        <v>1</v>
      </c>
      <c r="L16" s="110" t="str">
        <f>IF((H16&lt;15%)*AND(G16&lt;100000), "NO","YES")</f>
        <v>YES</v>
      </c>
      <c r="M16" s="114" t="str">
        <f>IF((L16="YES")*AND(I16+J16&lt;1),"Explanation not required, difference less than £200"," ")</f>
        <v xml:space="preserve"> </v>
      </c>
      <c r="N16" s="118" t="s">
        <v>162</v>
      </c>
    </row>
    <row r="17" spans="1:22" ht="14.4" thickBot="1" x14ac:dyDescent="0.3">
      <c r="D17" s="117"/>
      <c r="F17" s="117"/>
      <c r="G17" s="117"/>
      <c r="H17" s="119"/>
      <c r="K17" s="110"/>
      <c r="L17" s="110"/>
      <c r="N17" s="103"/>
    </row>
    <row r="18" spans="1:22" ht="14.4" thickBot="1" x14ac:dyDescent="0.3">
      <c r="A18" s="293" t="s">
        <v>163</v>
      </c>
      <c r="B18" s="293"/>
      <c r="C18" s="293"/>
      <c r="D18" s="116">
        <v>0</v>
      </c>
      <c r="F18" s="116">
        <v>0</v>
      </c>
      <c r="G18" s="117">
        <f>F18-D18</f>
        <v>0</v>
      </c>
      <c r="H18" s="119">
        <f>IF((D18&gt;F18),(D18-F18)/D18,IF(D18&lt;F18,-(D18-F18)/D18,IF(D18=F18,0)))</f>
        <v>0</v>
      </c>
      <c r="I18" s="104">
        <f>IF(D18-F18&lt;200,0,IF(D18-F18&gt;200,1,IF(D18-F18=200,1)))</f>
        <v>0</v>
      </c>
      <c r="J18" s="104">
        <f>IF(F18-D18&lt;200,0,IF(F18-D18&gt;200,1,IF(F18-D18=200,1)))</f>
        <v>0</v>
      </c>
      <c r="K18" s="110">
        <f>IF(H18&lt;0.15,0,IF(H18&gt;0.15,1,IF(H18=0.15,1)))</f>
        <v>0</v>
      </c>
      <c r="L18" s="110" t="str">
        <f>IF((H18&lt;15%)*AND(G18&lt;100000), "NO","YES")</f>
        <v>NO</v>
      </c>
      <c r="M18" s="114" t="str">
        <f>IF((L18="YES")*AND(I18+J18&lt;1),"Explanation not required, difference less than £200"," ")</f>
        <v xml:space="preserve"> </v>
      </c>
      <c r="N18" s="118"/>
    </row>
    <row r="19" spans="1:22" x14ac:dyDescent="0.25">
      <c r="D19" s="117"/>
      <c r="F19" s="117"/>
      <c r="G19" s="117"/>
      <c r="H19" s="119"/>
      <c r="K19" s="110"/>
      <c r="L19" s="110"/>
      <c r="N19" s="103"/>
    </row>
    <row r="20" spans="1:22" ht="41.4" x14ac:dyDescent="0.25">
      <c r="A20" s="293" t="s">
        <v>164</v>
      </c>
      <c r="B20" s="293"/>
      <c r="C20" s="293"/>
      <c r="D20" s="116">
        <v>2048</v>
      </c>
      <c r="F20" s="116">
        <f>'Cash Book 2022-23'!L58+'Cash Book 2022-23'!M58+'Cash Book 2022-23'!N58+'Cash Book 2022-23'!O58+'Cash Book 2022-23'!P58+'Cash Book 2022-23'!Q58+'Cash Book 2022-23'!R58+'Cash Book 2022-23'!S58</f>
        <v>2411.7899999999995</v>
      </c>
      <c r="G20" s="117">
        <f>F20-D20</f>
        <v>363.78999999999951</v>
      </c>
      <c r="H20" s="119">
        <f>IF((D20&gt;F20),(D20-F20)/D20,IF(D20&lt;F20,-(D20-F20)/D20,IF(D20=F20,0)))</f>
        <v>0.17763183593749976</v>
      </c>
      <c r="I20" s="104">
        <f>IF(D20-F20&lt;200,0,IF(D20-F20&gt;200,1,IF(D20-F20=200,1)))</f>
        <v>0</v>
      </c>
      <c r="J20" s="104">
        <f>IF(F20-D20&lt;200,0,IF(F20-D20&gt;200,1,IF(F20-D20=200,1)))</f>
        <v>1</v>
      </c>
      <c r="K20" s="110">
        <f>IF(H20&lt;0.15,0,IF(H20&gt;0.15,1,IF(H20=0.15,1)))</f>
        <v>1</v>
      </c>
      <c r="L20" s="110" t="str">
        <f>IF((H20&lt;15%)*AND(G20&lt;100000), "NO","YES")</f>
        <v>YES</v>
      </c>
      <c r="M20" s="120"/>
      <c r="N20" s="118" t="s">
        <v>165</v>
      </c>
      <c r="Q20" s="117"/>
    </row>
    <row r="21" spans="1:22" ht="14.4" thickBot="1" x14ac:dyDescent="0.3">
      <c r="D21" s="117"/>
      <c r="F21" s="117"/>
      <c r="G21" s="117"/>
      <c r="H21" s="119"/>
      <c r="K21" s="110"/>
      <c r="L21" s="110"/>
      <c r="N21" s="103"/>
    </row>
    <row r="22" spans="1:22" ht="28.2" thickBot="1" x14ac:dyDescent="0.3">
      <c r="A22" s="286" t="s">
        <v>166</v>
      </c>
      <c r="D22" s="121">
        <f>D10+D12+D14-D16-D18-D20</f>
        <v>15246</v>
      </c>
      <c r="F22" s="121">
        <f>F10+F12+F14-F16-F18-F20</f>
        <v>18460.96</v>
      </c>
      <c r="G22" s="117"/>
      <c r="H22" s="119"/>
      <c r="K22" s="110"/>
      <c r="L22" s="110"/>
      <c r="M22" s="122" t="s">
        <v>167</v>
      </c>
      <c r="N22" s="103"/>
    </row>
    <row r="23" spans="1:22" x14ac:dyDescent="0.25">
      <c r="A23" s="286"/>
      <c r="D23" s="101"/>
      <c r="F23" s="101"/>
      <c r="G23" s="117"/>
      <c r="H23" s="119"/>
      <c r="K23" s="110"/>
      <c r="L23" s="123" t="str">
        <f>IF(F22&gt;(2*F12),"YES","NO")</f>
        <v>YES</v>
      </c>
      <c r="M23" s="124"/>
      <c r="N23" s="103"/>
    </row>
    <row r="24" spans="1:22" ht="14.4" thickBot="1" x14ac:dyDescent="0.3">
      <c r="D24" s="117"/>
      <c r="F24" s="117"/>
      <c r="G24" s="117"/>
      <c r="H24" s="119"/>
      <c r="K24" s="110"/>
      <c r="L24" s="110"/>
      <c r="N24" s="103"/>
    </row>
    <row r="25" spans="1:22" ht="28.2" thickBot="1" x14ac:dyDescent="0.3">
      <c r="A25" s="293" t="s">
        <v>168</v>
      </c>
      <c r="B25" s="293"/>
      <c r="C25" s="293"/>
      <c r="D25" s="116">
        <v>15246</v>
      </c>
      <c r="F25" s="116">
        <f>'Cash Book 2022-23'!F51+'Cash Book 2022-23'!F57</f>
        <v>18460.960000000003</v>
      </c>
      <c r="G25" s="117"/>
      <c r="H25" s="119"/>
      <c r="K25" s="110"/>
      <c r="L25" s="110"/>
      <c r="M25" s="122" t="s">
        <v>167</v>
      </c>
      <c r="N25" s="103"/>
    </row>
    <row r="26" spans="1:22" ht="14.4" thickBot="1" x14ac:dyDescent="0.3">
      <c r="D26" s="117"/>
      <c r="F26" s="117"/>
      <c r="G26" s="117"/>
      <c r="H26" s="119"/>
      <c r="K26" s="110"/>
      <c r="L26" s="110"/>
      <c r="N26" s="103"/>
    </row>
    <row r="27" spans="1:22" ht="29.1" customHeight="1" thickBot="1" x14ac:dyDescent="0.3">
      <c r="A27" s="302" t="s">
        <v>169</v>
      </c>
      <c r="B27" s="302"/>
      <c r="C27" s="302"/>
      <c r="D27" s="116">
        <v>40610</v>
      </c>
      <c r="F27" s="116">
        <f>Assets!E19</f>
        <v>40610.049999999996</v>
      </c>
      <c r="G27" s="117">
        <f>F27-D27</f>
        <v>4.9999999995634425E-2</v>
      </c>
      <c r="H27" s="119">
        <f>IF((D27&gt;F27),(D27-F27)/D27,IF(D27&lt;F27,-(D27-F27)/D27,IF(D27=F27,0)))</f>
        <v>1.2312238363859745E-6</v>
      </c>
      <c r="I27" s="104">
        <f>IF(D27-F27&lt;200,0,IF(D27-F27&gt;200,1,IF(D27-F27=200,1)))</f>
        <v>0</v>
      </c>
      <c r="J27" s="104">
        <f>IF(F27-D27&lt;200,0,IF(F27-D27&gt;200,1,IF(F27-D27=200,1)))</f>
        <v>0</v>
      </c>
      <c r="K27" s="110">
        <f>IF(H27&lt;0.15,0,IF(H27&gt;0.15,1,IF(H27=0.15,1)))</f>
        <v>0</v>
      </c>
      <c r="L27" s="110" t="str">
        <f>IF((H27&lt;15%)*AND(G27&lt;100000), "NO","YES")</f>
        <v>NO</v>
      </c>
      <c r="M27" s="114" t="str">
        <f>IF((L27="YES")*AND(I27+J27&lt;1),"Explanation not required, difference less than £200"," ")</f>
        <v xml:space="preserve"> </v>
      </c>
      <c r="N27" s="118"/>
    </row>
    <row r="28" spans="1:22" ht="14.4" thickBot="1" x14ac:dyDescent="0.3">
      <c r="D28" s="117"/>
      <c r="F28" s="117"/>
      <c r="G28" s="117"/>
      <c r="H28" s="119"/>
      <c r="K28" s="110"/>
      <c r="L28" s="110"/>
      <c r="N28" s="103"/>
    </row>
    <row r="29" spans="1:22" ht="14.4" thickBot="1" x14ac:dyDescent="0.3">
      <c r="A29" s="293" t="s">
        <v>170</v>
      </c>
      <c r="B29" s="293"/>
      <c r="C29" s="293"/>
      <c r="D29" s="116">
        <v>0</v>
      </c>
      <c r="F29" s="116">
        <v>0</v>
      </c>
      <c r="G29" s="117">
        <f>F29-D29</f>
        <v>0</v>
      </c>
      <c r="H29" s="119">
        <f>IF((D29&gt;F29),(D29-F29)/D29,IF(D29&lt;F29,-(D29-F29)/D29,IF(D29=F29,0)))</f>
        <v>0</v>
      </c>
      <c r="I29" s="104">
        <f>IF(D29-F29&lt;100,0,IF(D29-F29&gt;100,1,IF(D29-F29=100,1)))</f>
        <v>0</v>
      </c>
      <c r="J29" s="104">
        <f>IF(F29-D29&lt;100,0,IF(F29-D29&gt;100,1,IF(F29-D29=100,1)))</f>
        <v>0</v>
      </c>
      <c r="K29" s="110">
        <f>IF(H29&lt;0.15,0,IF(H29&gt;0.15,1,IF(H29=0.15,1)))</f>
        <v>0</v>
      </c>
      <c r="L29" s="110" t="str">
        <f>IF((H29&lt;15%)*AND(G29&lt;100000), "NO","YES")</f>
        <v>NO</v>
      </c>
      <c r="M29" s="114" t="str">
        <f>IF((L29="YES")*AND(I29+J29&lt;1),"Explanation not required, difference less than £200"," ")</f>
        <v xml:space="preserve"> </v>
      </c>
      <c r="N29" s="118"/>
    </row>
    <row r="30" spans="1:22" x14ac:dyDescent="0.25">
      <c r="H30" s="119"/>
      <c r="K30" s="110"/>
      <c r="L30" s="110"/>
      <c r="N30" s="103"/>
    </row>
    <row r="31" spans="1:22" x14ac:dyDescent="0.25">
      <c r="C31" s="102" t="s">
        <v>171</v>
      </c>
    </row>
    <row r="32" spans="1:22" ht="8.1" customHeight="1" x14ac:dyDescent="0.25">
      <c r="O32" s="125"/>
      <c r="P32" s="125"/>
      <c r="Q32" s="125"/>
      <c r="R32" s="125"/>
      <c r="S32" s="125"/>
      <c r="T32" s="125"/>
      <c r="U32" s="125"/>
      <c r="V32" s="125"/>
    </row>
    <row r="33" spans="1:22" x14ac:dyDescent="0.25">
      <c r="C33" s="102" t="s">
        <v>172</v>
      </c>
      <c r="N33" s="125"/>
      <c r="O33" s="125"/>
      <c r="P33" s="125"/>
      <c r="Q33" s="125"/>
      <c r="R33" s="125"/>
      <c r="S33" s="125"/>
      <c r="T33" s="125"/>
      <c r="U33" s="125"/>
      <c r="V33" s="125"/>
    </row>
    <row r="34" spans="1:22" ht="8.1" customHeight="1" x14ac:dyDescent="0.25"/>
    <row r="35" spans="1:22" x14ac:dyDescent="0.25">
      <c r="C35" s="102" t="s">
        <v>173</v>
      </c>
    </row>
    <row r="36" spans="1:22" ht="8.1" customHeight="1" x14ac:dyDescent="0.25"/>
    <row r="37" spans="1:22" ht="14.4" x14ac:dyDescent="0.3">
      <c r="A37" t="s">
        <v>83</v>
      </c>
      <c r="B37"/>
      <c r="C37" s="126"/>
      <c r="D37" s="126"/>
      <c r="E37" s="126"/>
      <c r="F37" s="79" t="s">
        <v>83</v>
      </c>
    </row>
    <row r="38" spans="1:22" ht="14.4" x14ac:dyDescent="0.3">
      <c r="A38" s="13" t="s">
        <v>85</v>
      </c>
      <c r="B38"/>
      <c r="C38" s="126"/>
      <c r="D38" s="126"/>
      <c r="E38" s="126"/>
      <c r="F38" s="79" t="s">
        <v>140</v>
      </c>
    </row>
    <row r="39" spans="1:22" ht="14.4" x14ac:dyDescent="0.3">
      <c r="A39" s="126"/>
      <c r="B39"/>
      <c r="C39" s="126"/>
      <c r="D39" s="126"/>
      <c r="E39" s="126"/>
      <c r="F39" s="126"/>
    </row>
    <row r="40" spans="1:22" ht="14.4" x14ac:dyDescent="0.3">
      <c r="A40" t="s">
        <v>84</v>
      </c>
      <c r="B40"/>
      <c r="C40" t="s">
        <v>87</v>
      </c>
      <c r="D40" s="126"/>
      <c r="E40" s="126"/>
      <c r="F40" s="79" t="s">
        <v>88</v>
      </c>
    </row>
    <row r="41" spans="1:22" x14ac:dyDescent="0.25">
      <c r="A41"/>
      <c r="B41"/>
      <c r="C41" s="79"/>
    </row>
  </sheetData>
  <mergeCells count="11">
    <mergeCell ref="A18:C18"/>
    <mergeCell ref="A20:C20"/>
    <mergeCell ref="A25:C25"/>
    <mergeCell ref="A27:C27"/>
    <mergeCell ref="A29:C29"/>
    <mergeCell ref="A16:C16"/>
    <mergeCell ref="A1:K1"/>
    <mergeCell ref="A10:C10"/>
    <mergeCell ref="A12:C12"/>
    <mergeCell ref="A14:C14"/>
    <mergeCell ref="A5:N5"/>
  </mergeCells>
  <printOptions horizontalCentered="1" verticalCentered="1"/>
  <pageMargins left="0.3" right="0.3" top="0.3" bottom="0.3" header="0.3" footer="0.3"/>
  <pageSetup paperSize="9" scale="64" orientation="landscape" horizontalDpi="0" verticalDpi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535F8-BBE8-C841-8F13-C5DC3B9BA12F}">
  <dimension ref="A1:M26"/>
  <sheetViews>
    <sheetView zoomScale="125" zoomScaleNormal="125" workbookViewId="0">
      <selection activeCell="M3" sqref="M3"/>
    </sheetView>
  </sheetViews>
  <sheetFormatPr defaultColWidth="8.88671875" defaultRowHeight="14.4" x14ac:dyDescent="0.3"/>
  <cols>
    <col min="1" max="3" width="8.88671875" style="158"/>
    <col min="4" max="6" width="8.88671875" style="164"/>
    <col min="7" max="10" width="8.88671875" style="158"/>
    <col min="11" max="11" width="9.88671875" style="158" customWidth="1"/>
    <col min="12" max="16384" width="8.88671875" style="158"/>
  </cols>
  <sheetData>
    <row r="1" spans="1:13" ht="18" x14ac:dyDescent="0.35">
      <c r="A1" s="170" t="s">
        <v>174</v>
      </c>
      <c r="B1" s="162"/>
      <c r="C1" s="162"/>
      <c r="D1" s="167"/>
      <c r="E1" s="167"/>
      <c r="F1" s="200" t="s">
        <v>175</v>
      </c>
      <c r="G1" s="162"/>
      <c r="H1" s="162"/>
      <c r="I1" s="162"/>
      <c r="J1" s="162"/>
      <c r="K1" s="171"/>
    </row>
    <row r="2" spans="1:13" x14ac:dyDescent="0.3">
      <c r="A2" s="172" t="s">
        <v>176</v>
      </c>
      <c r="K2" s="173"/>
    </row>
    <row r="3" spans="1:13" ht="22.8" x14ac:dyDescent="0.4">
      <c r="A3" s="172" t="s">
        <v>177</v>
      </c>
      <c r="K3" s="173"/>
      <c r="M3" s="210"/>
    </row>
    <row r="4" spans="1:13" x14ac:dyDescent="0.3">
      <c r="A4" s="172"/>
      <c r="K4" s="173"/>
    </row>
    <row r="5" spans="1:13" x14ac:dyDescent="0.3">
      <c r="A5" s="172"/>
      <c r="D5" s="165" t="s">
        <v>96</v>
      </c>
      <c r="E5" s="165" t="s">
        <v>96</v>
      </c>
      <c r="F5" s="165" t="s">
        <v>96</v>
      </c>
      <c r="K5" s="173"/>
    </row>
    <row r="6" spans="1:13" x14ac:dyDescent="0.3">
      <c r="A6" s="174" t="s">
        <v>178</v>
      </c>
      <c r="K6" s="173"/>
    </row>
    <row r="7" spans="1:13" x14ac:dyDescent="0.3">
      <c r="A7" s="172"/>
      <c r="B7" s="159" t="s">
        <v>179</v>
      </c>
      <c r="D7" s="160">
        <v>8334</v>
      </c>
      <c r="G7" s="158" t="s">
        <v>180</v>
      </c>
      <c r="K7" s="173"/>
    </row>
    <row r="8" spans="1:13" x14ac:dyDescent="0.3">
      <c r="A8" s="172"/>
      <c r="B8" s="159" t="s">
        <v>181</v>
      </c>
      <c r="D8" s="160">
        <v>930</v>
      </c>
      <c r="G8" s="158" t="s">
        <v>182</v>
      </c>
      <c r="K8" s="173"/>
    </row>
    <row r="9" spans="1:13" x14ac:dyDescent="0.3">
      <c r="A9" s="172"/>
      <c r="B9" s="159" t="s">
        <v>183</v>
      </c>
      <c r="D9" s="160">
        <v>2245</v>
      </c>
      <c r="G9" s="158" t="s">
        <v>184</v>
      </c>
      <c r="K9" s="173"/>
    </row>
    <row r="10" spans="1:13" x14ac:dyDescent="0.3">
      <c r="A10" s="172"/>
      <c r="B10" s="159" t="s">
        <v>185</v>
      </c>
      <c r="D10" s="160">
        <v>371</v>
      </c>
      <c r="G10" s="158" t="s">
        <v>186</v>
      </c>
      <c r="K10" s="173"/>
    </row>
    <row r="11" spans="1:13" ht="15" thickBot="1" x14ac:dyDescent="0.35">
      <c r="A11" s="172"/>
      <c r="B11" s="159"/>
      <c r="D11" s="160"/>
      <c r="E11" s="166"/>
      <c r="K11" s="173"/>
    </row>
    <row r="12" spans="1:13" x14ac:dyDescent="0.3">
      <c r="A12" s="172"/>
      <c r="E12" s="167">
        <f>SUM(D7:D11)</f>
        <v>11880</v>
      </c>
      <c r="K12" s="173"/>
    </row>
    <row r="13" spans="1:13" x14ac:dyDescent="0.3">
      <c r="A13" s="172"/>
      <c r="K13" s="173"/>
    </row>
    <row r="14" spans="1:13" ht="15" thickBot="1" x14ac:dyDescent="0.35">
      <c r="A14" s="174" t="s">
        <v>187</v>
      </c>
      <c r="D14" s="160">
        <f>'Cash Book 2022-23'!F58-'Variances explained'!E12</f>
        <v>6580.9600000000028</v>
      </c>
      <c r="E14" s="166"/>
      <c r="K14" s="173"/>
    </row>
    <row r="15" spans="1:13" ht="15" thickBot="1" x14ac:dyDescent="0.35">
      <c r="A15" s="172"/>
      <c r="E15" s="167">
        <f>D14</f>
        <v>6580.9600000000028</v>
      </c>
      <c r="F15" s="166"/>
      <c r="K15" s="173"/>
    </row>
    <row r="16" spans="1:13" ht="15" thickBot="1" x14ac:dyDescent="0.35">
      <c r="A16" s="174" t="s">
        <v>188</v>
      </c>
      <c r="F16" s="168">
        <f>E12+E15</f>
        <v>18460.960000000003</v>
      </c>
      <c r="K16" s="173"/>
    </row>
    <row r="17" spans="1:11" s="161" customFormat="1" ht="15.6" thickTop="1" thickBot="1" x14ac:dyDescent="0.35">
      <c r="A17" s="175"/>
      <c r="D17" s="166"/>
      <c r="E17" s="166"/>
      <c r="F17" s="176"/>
      <c r="K17" s="177"/>
    </row>
    <row r="18" spans="1:11" s="178" customFormat="1" x14ac:dyDescent="0.3">
      <c r="D18" s="179"/>
      <c r="E18" s="179"/>
      <c r="F18" s="179"/>
    </row>
    <row r="19" spans="1:11" s="126" customFormat="1" x14ac:dyDescent="0.3">
      <c r="D19" s="180"/>
      <c r="E19" s="180"/>
      <c r="F19" s="180"/>
    </row>
    <row r="20" spans="1:11" s="126" customFormat="1" x14ac:dyDescent="0.3">
      <c r="A20" t="s">
        <v>83</v>
      </c>
      <c r="B20"/>
      <c r="D20" s="180"/>
      <c r="E20" s="180"/>
      <c r="F20" s="79" t="s">
        <v>83</v>
      </c>
    </row>
    <row r="21" spans="1:11" s="126" customFormat="1" x14ac:dyDescent="0.3">
      <c r="A21" s="13" t="s">
        <v>85</v>
      </c>
      <c r="B21"/>
      <c r="D21" s="180"/>
      <c r="E21" s="180"/>
      <c r="F21" s="79" t="s">
        <v>140</v>
      </c>
    </row>
    <row r="22" spans="1:11" s="126" customFormat="1" x14ac:dyDescent="0.3">
      <c r="B22"/>
      <c r="D22" s="180"/>
      <c r="E22" s="180"/>
      <c r="F22" s="180"/>
    </row>
    <row r="23" spans="1:11" s="126" customFormat="1" x14ac:dyDescent="0.3">
      <c r="A23"/>
      <c r="B23"/>
      <c r="D23" s="180"/>
      <c r="E23" s="180"/>
      <c r="F23" s="79"/>
    </row>
    <row r="24" spans="1:11" s="126" customFormat="1" x14ac:dyDescent="0.3">
      <c r="A24" t="s">
        <v>84</v>
      </c>
      <c r="B24"/>
      <c r="C24" t="s">
        <v>87</v>
      </c>
      <c r="D24" s="180"/>
      <c r="E24" s="180"/>
      <c r="F24" s="79" t="s">
        <v>88</v>
      </c>
    </row>
    <row r="25" spans="1:11" s="126" customFormat="1" x14ac:dyDescent="0.3">
      <c r="B25"/>
      <c r="D25" s="180"/>
      <c r="E25" s="180"/>
      <c r="F25" s="180"/>
    </row>
    <row r="26" spans="1:11" s="163" customFormat="1" x14ac:dyDescent="0.3">
      <c r="B26" s="138"/>
      <c r="D26" s="169"/>
      <c r="E26" s="169"/>
      <c r="F26" s="169"/>
    </row>
  </sheetData>
  <printOptions horizontalCentered="1"/>
  <pageMargins left="0.7" right="0.7" top="1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6</vt:i4>
      </vt:variant>
    </vt:vector>
  </HeadingPairs>
  <TitlesOfParts>
    <vt:vector size="11" baseType="lpstr">
      <vt:lpstr>Cash Book 2022-23</vt:lpstr>
      <vt:lpstr>Assets</vt:lpstr>
      <vt:lpstr>Bank Reconciliation</vt:lpstr>
      <vt:lpstr>Variances</vt:lpstr>
      <vt:lpstr>Variances explained</vt:lpstr>
      <vt:lpstr>Assets!Print_Area</vt:lpstr>
      <vt:lpstr>'Bank Reconciliation'!Print_Area</vt:lpstr>
      <vt:lpstr>'Cash Book 2022-23'!Print_Area</vt:lpstr>
      <vt:lpstr>Variances!Print_Area</vt:lpstr>
      <vt:lpstr>'Variances explained'!Print_Area</vt:lpstr>
      <vt:lpstr>'Cash Book 2022-23'!Print_Titles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David Heron</dc:creator>
  <cp:keywords/>
  <dc:description/>
  <cp:lastModifiedBy>Sharon Brown</cp:lastModifiedBy>
  <cp:revision/>
  <dcterms:created xsi:type="dcterms:W3CDTF">1999-04-14T10:11:19Z</dcterms:created>
  <dcterms:modified xsi:type="dcterms:W3CDTF">2023-07-01T08:22:26Z</dcterms:modified>
  <cp:category/>
  <cp:contentStatus/>
</cp:coreProperties>
</file>