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showInkAnnotation="0" autoCompressPictures="0"/>
  <mc:AlternateContent xmlns:mc="http://schemas.openxmlformats.org/markup-compatibility/2006">
    <mc:Choice Requires="x15">
      <x15ac:absPath xmlns:x15ac="http://schemas.microsoft.com/office/spreadsheetml/2010/11/ac" url="/Users/bobbie1/Downloads/"/>
    </mc:Choice>
  </mc:AlternateContent>
  <xr:revisionPtr revIDLastSave="0" documentId="13_ncr:1_{C1933694-FF2D-DB47-9A02-B6C1B1913F76}" xr6:coauthVersionLast="47" xr6:coauthVersionMax="47" xr10:uidLastSave="{00000000-0000-0000-0000-000000000000}"/>
  <bookViews>
    <workbookView xWindow="2400" yWindow="1940" windowWidth="43960" windowHeight="24020" tabRatio="601" xr2:uid="{00000000-000D-0000-FFFF-FFFF00000000}"/>
  </bookViews>
  <sheets>
    <sheet name="Cash Book 2020-21" sheetId="7" r:id="rId1"/>
    <sheet name="VAT" sheetId="34" r:id="rId2"/>
    <sheet name="Assets" sheetId="26" r:id="rId3"/>
    <sheet name="Bank Reconciliation" sheetId="27" r:id="rId4"/>
    <sheet name="Variances" sheetId="39" r:id="rId5"/>
    <sheet name="Variances explained" sheetId="38" r:id="rId6"/>
    <sheet name="Open Meeting Summary" sheetId="19" r:id="rId7"/>
    <sheet name="Precept" sheetId="21" r:id="rId8"/>
    <sheet name="Year-on-year" sheetId="33" r:id="rId9"/>
    <sheet name="Grants" sheetId="31" r:id="rId10"/>
  </sheets>
  <definedNames>
    <definedName name="_xlnm.Print_Area" localSheetId="2">Assets!$A$1:$E$44</definedName>
    <definedName name="_xlnm.Print_Area" localSheetId="3">'Bank Reconciliation'!$A$1:$D$40</definedName>
    <definedName name="_xlnm.Print_Area" localSheetId="0">'Cash Book 2020-21'!$A$1:$T$60</definedName>
    <definedName name="_xlnm.Print_Area" localSheetId="9">Grants!$A$1:$N$22</definedName>
    <definedName name="_xlnm.Print_Area" localSheetId="6">'Open Meeting Summary'!$A$1:$C$61</definedName>
    <definedName name="_xlnm.Print_Area" localSheetId="7">Precept!$A$1:$C$15</definedName>
    <definedName name="_xlnm.Print_Area" localSheetId="4">Variances!$A$1:$N$36</definedName>
    <definedName name="_xlnm.Print_Area" localSheetId="5">'Variances explained'!$A$1:$K$19</definedName>
    <definedName name="_xlnm.Print_Area" localSheetId="1">VAT!$A$1:$F$53</definedName>
    <definedName name="_xlnm.Print_Titles" localSheetId="0">'Cash Book 2020-21'!$B:$B,'Cash Book 2020-21'!$2:$4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19" l="1"/>
  <c r="F26" i="39"/>
  <c r="F21" i="39"/>
  <c r="F17" i="39"/>
  <c r="F15" i="39"/>
  <c r="F13" i="39"/>
  <c r="F11" i="39"/>
  <c r="B42" i="19"/>
  <c r="B41" i="19"/>
  <c r="B45" i="19"/>
  <c r="L17" i="33" l="1"/>
  <c r="L16" i="33"/>
  <c r="L14" i="33"/>
  <c r="L12" i="33"/>
  <c r="L11" i="33"/>
  <c r="L10" i="33"/>
  <c r="L9" i="33"/>
  <c r="E14" i="38" l="1"/>
  <c r="K30" i="39"/>
  <c r="J30" i="39"/>
  <c r="I30" i="39"/>
  <c r="H30" i="39"/>
  <c r="G30" i="39"/>
  <c r="J28" i="39"/>
  <c r="I28" i="39"/>
  <c r="H28" i="39"/>
  <c r="G28" i="39"/>
  <c r="F23" i="39"/>
  <c r="D23" i="39"/>
  <c r="M11" i="39" s="1"/>
  <c r="J21" i="39"/>
  <c r="I21" i="39"/>
  <c r="H21" i="39"/>
  <c r="K21" i="39" s="1"/>
  <c r="G21" i="39"/>
  <c r="J19" i="39"/>
  <c r="I19" i="39"/>
  <c r="H19" i="39"/>
  <c r="L19" i="39" s="1"/>
  <c r="M19" i="39" s="1"/>
  <c r="G19" i="39"/>
  <c r="J17" i="39"/>
  <c r="I17" i="39"/>
  <c r="H17" i="39"/>
  <c r="K17" i="39" s="1"/>
  <c r="G17" i="39"/>
  <c r="J15" i="39"/>
  <c r="I15" i="39"/>
  <c r="H15" i="39"/>
  <c r="K15" i="39" s="1"/>
  <c r="G15" i="39"/>
  <c r="J13" i="39"/>
  <c r="I13" i="39"/>
  <c r="H13" i="39"/>
  <c r="G13" i="39"/>
  <c r="L24" i="39" l="1"/>
  <c r="L15" i="33"/>
  <c r="L13" i="39"/>
  <c r="M13" i="39" s="1"/>
  <c r="L15" i="39"/>
  <c r="L28" i="39"/>
  <c r="M28" i="39" s="1"/>
  <c r="L30" i="39"/>
  <c r="M30" i="39" s="1"/>
  <c r="L21" i="39"/>
  <c r="K13" i="39"/>
  <c r="K19" i="39"/>
  <c r="K28" i="39"/>
  <c r="L17" i="39"/>
  <c r="M17" i="39" s="1"/>
  <c r="D21" i="27" l="1"/>
  <c r="D28" i="26"/>
  <c r="F53" i="34" l="1"/>
  <c r="K48" i="7" l="1"/>
  <c r="S50" i="7" l="1"/>
  <c r="E50" i="7"/>
  <c r="E25" i="7" l="1"/>
  <c r="F6" i="31" l="1"/>
  <c r="F8" i="31"/>
  <c r="F9" i="31"/>
  <c r="F11" i="31"/>
  <c r="F5" i="31"/>
  <c r="E13" i="31"/>
  <c r="E12" i="31"/>
  <c r="T45" i="7" l="1"/>
  <c r="S46" i="7" l="1"/>
  <c r="E46" i="7"/>
  <c r="E19" i="26"/>
  <c r="S25" i="7" l="1"/>
  <c r="S24" i="7"/>
  <c r="E24" i="7"/>
  <c r="R50" i="7"/>
  <c r="R46" i="7"/>
  <c r="S44" i="7"/>
  <c r="E44" i="7"/>
  <c r="S37" i="7"/>
  <c r="E37" i="7"/>
  <c r="S36" i="7"/>
  <c r="E36" i="7"/>
  <c r="S34" i="7"/>
  <c r="E34" i="7"/>
  <c r="S32" i="7"/>
  <c r="E32" i="7"/>
  <c r="E28" i="7"/>
  <c r="S28" i="7"/>
  <c r="S29" i="7"/>
  <c r="O29" i="7" s="1"/>
  <c r="R28" i="7" l="1"/>
  <c r="R34" i="7"/>
  <c r="R37" i="7"/>
  <c r="R32" i="7"/>
  <c r="T32" i="7" s="1"/>
  <c r="R36" i="7"/>
  <c r="R44" i="7"/>
  <c r="T44" i="7" s="1"/>
  <c r="R24" i="7"/>
  <c r="R25" i="7"/>
  <c r="T46" i="7"/>
  <c r="T50" i="7"/>
  <c r="T29" i="7"/>
  <c r="T34" i="7"/>
  <c r="T35" i="7"/>
  <c r="T36" i="7"/>
  <c r="T47" i="7"/>
  <c r="T48" i="7"/>
  <c r="T49" i="7"/>
  <c r="K41" i="7"/>
  <c r="T41" i="7" s="1"/>
  <c r="K42" i="7"/>
  <c r="R39" i="7"/>
  <c r="T39" i="7" s="1"/>
  <c r="T28" i="7"/>
  <c r="R27" i="7"/>
  <c r="T27" i="7" s="1"/>
  <c r="Q26" i="7"/>
  <c r="T26" i="7" s="1"/>
  <c r="N42" i="7" l="1"/>
  <c r="T42" i="7" s="1"/>
  <c r="T37" i="7"/>
  <c r="O21" i="7" l="1"/>
  <c r="T21" i="7" s="1"/>
  <c r="E19" i="7"/>
  <c r="O19" i="7" s="1"/>
  <c r="T19" i="7" s="1"/>
  <c r="T25" i="7"/>
  <c r="T24" i="7"/>
  <c r="G18" i="7"/>
  <c r="T18" i="7" s="1"/>
  <c r="F7" i="7" l="1"/>
  <c r="F8" i="7" s="1"/>
  <c r="F9" i="7" s="1"/>
  <c r="F10" i="7" s="1"/>
  <c r="F11" i="7" s="1"/>
  <c r="F12" i="7" s="1"/>
  <c r="F13" i="7" s="1"/>
  <c r="E19" i="31"/>
  <c r="D13" i="31" l="1"/>
  <c r="F13" i="31" s="1"/>
  <c r="D12" i="31"/>
  <c r="F12" i="31" s="1"/>
  <c r="C15" i="31"/>
  <c r="B5" i="19"/>
  <c r="B3" i="19"/>
  <c r="C19" i="31" l="1"/>
  <c r="F15" i="31"/>
  <c r="F19" i="31" s="1"/>
  <c r="W22" i="7" l="1"/>
  <c r="D19" i="31" l="1"/>
  <c r="D21" i="31" s="1"/>
  <c r="E21" i="31" s="1"/>
  <c r="C33" i="27" l="1"/>
  <c r="C32" i="27"/>
  <c r="F16" i="7"/>
  <c r="D60" i="7"/>
  <c r="R20" i="7"/>
  <c r="T20" i="7" s="1"/>
  <c r="O23" i="7"/>
  <c r="T23" i="7" s="1"/>
  <c r="H56" i="7"/>
  <c r="T56" i="7" s="1"/>
  <c r="R40" i="7"/>
  <c r="T40" i="7" s="1"/>
  <c r="Q38" i="7"/>
  <c r="T38" i="7" s="1"/>
  <c r="O30" i="7"/>
  <c r="T30" i="7" s="1"/>
  <c r="Q33" i="7"/>
  <c r="T33" i="7" s="1"/>
  <c r="P22" i="7"/>
  <c r="T22" i="7" s="1"/>
  <c r="O16" i="7"/>
  <c r="T16" i="7" s="1"/>
  <c r="F56" i="7"/>
  <c r="F57" i="7" s="1"/>
  <c r="F58" i="7" s="1"/>
  <c r="F59" i="7" s="1"/>
  <c r="G17" i="7"/>
  <c r="T17" i="7" s="1"/>
  <c r="G31" i="7"/>
  <c r="T31" i="7" s="1"/>
  <c r="H43" i="7"/>
  <c r="T43" i="7" s="1"/>
  <c r="H57" i="7"/>
  <c r="T57" i="7" s="1"/>
  <c r="H58" i="7"/>
  <c r="T58" i="7" s="1"/>
  <c r="H59" i="7"/>
  <c r="T59" i="7" s="1"/>
  <c r="M60" i="7"/>
  <c r="N60" i="7"/>
  <c r="I60" i="7"/>
  <c r="J60" i="7"/>
  <c r="S60" i="7"/>
  <c r="B40" i="19"/>
  <c r="B46" i="19" s="1"/>
  <c r="B8" i="21"/>
  <c r="F17" i="7" l="1"/>
  <c r="F18" i="7" s="1"/>
  <c r="F19" i="7" s="1"/>
  <c r="F20" i="7" s="1"/>
  <c r="F21" i="7" s="1"/>
  <c r="F22" i="7" s="1"/>
  <c r="F23" i="7" s="1"/>
  <c r="F24" i="7" s="1"/>
  <c r="F25" i="7" s="1"/>
  <c r="F26" i="7" s="1"/>
  <c r="F27" i="7" s="1"/>
  <c r="F28" i="7" s="1"/>
  <c r="D29" i="26"/>
  <c r="B10" i="19"/>
  <c r="E60" i="7"/>
  <c r="L60" i="7"/>
  <c r="B11" i="19"/>
  <c r="B16" i="19"/>
  <c r="G60" i="7"/>
  <c r="B4" i="19" s="1"/>
  <c r="Q60" i="7"/>
  <c r="R60" i="7"/>
  <c r="O60" i="7"/>
  <c r="P60" i="7"/>
  <c r="K60" i="7"/>
  <c r="D34" i="27"/>
  <c r="D36" i="27"/>
  <c r="D11" i="27" l="1"/>
  <c r="D26" i="27" s="1"/>
  <c r="D37" i="27"/>
  <c r="D39" i="27" s="1"/>
  <c r="H60" i="7"/>
  <c r="T60" i="7"/>
  <c r="B14" i="19"/>
  <c r="B9" i="19"/>
  <c r="B12" i="19"/>
  <c r="B13" i="19"/>
  <c r="B15" i="19"/>
  <c r="B18" i="19" l="1"/>
  <c r="B48" i="19" s="1"/>
  <c r="F29" i="7" l="1"/>
  <c r="F30" i="7" s="1"/>
  <c r="F31" i="7" s="1"/>
  <c r="F32" i="7" s="1"/>
  <c r="F33" i="7" s="1"/>
  <c r="F34" i="7" s="1"/>
  <c r="F35" i="7" s="1"/>
  <c r="F36" i="7" s="1"/>
  <c r="F37" i="7" s="1"/>
  <c r="F38" i="7" s="1"/>
  <c r="F39" i="7" s="1"/>
  <c r="F40" i="7" s="1"/>
  <c r="F41" i="7" s="1"/>
  <c r="F42" i="7" s="1"/>
  <c r="F43" i="7" s="1"/>
  <c r="F44" i="7" l="1"/>
  <c r="F45" i="7" s="1"/>
  <c r="F46" i="7" s="1"/>
  <c r="F47" i="7" s="1"/>
  <c r="F48" i="7" s="1"/>
  <c r="F49" i="7" s="1"/>
  <c r="F50" i="7" s="1"/>
  <c r="F51" i="7" s="1"/>
  <c r="F60" i="7" l="1"/>
  <c r="D16" i="38" l="1"/>
  <c r="E17" i="38" s="1"/>
  <c r="F18" i="38" s="1"/>
</calcChain>
</file>

<file path=xl/sharedStrings.xml><?xml version="1.0" encoding="utf-8"?>
<sst xmlns="http://schemas.openxmlformats.org/spreadsheetml/2006/main" count="588" uniqueCount="404">
  <si>
    <t>PRECEPT set for 2012–2013</t>
    <phoneticPr fontId="23" type="noConversion"/>
  </si>
  <si>
    <t>Reserve</t>
    <phoneticPr fontId="23" type="noConversion"/>
  </si>
  <si>
    <t>Other</t>
  </si>
  <si>
    <t>PRECEPT set for 2018–2019</t>
    <phoneticPr fontId="23" type="noConversion"/>
  </si>
  <si>
    <t>–––––––––––––––––––––– EXPENDITURE ––––––––––––––––––––––</t>
  </si>
  <si>
    <t>2012/13 to 2017/18</t>
    <phoneticPr fontId="4" type="noConversion"/>
  </si>
  <si>
    <t>Internet + Software</t>
    <phoneticPr fontId="23" type="noConversion"/>
  </si>
  <si>
    <t>Web site</t>
    <phoneticPr fontId="23" type="noConversion"/>
  </si>
  <si>
    <t>Computer + Scanner</t>
    <phoneticPr fontId="23" type="noConversion"/>
  </si>
  <si>
    <t>One year's Precept</t>
    <phoneticPr fontId="23" type="noConversion"/>
  </si>
  <si>
    <t>Advertising and Publicity Costs</t>
  </si>
  <si>
    <t>DC</t>
    <phoneticPr fontId="4" type="noConversion"/>
  </si>
  <si>
    <t>Sharon Brown: salary + expenses</t>
    <phoneticPr fontId="4" type="noConversion"/>
  </si>
  <si>
    <t>HMRC: Income tax for Sharon</t>
    <phoneticPr fontId="4" type="noConversion"/>
  </si>
  <si>
    <t>PRECEPT set for 2020–2021</t>
    <phoneticPr fontId="23" type="noConversion"/>
  </si>
  <si>
    <t>PRECEPT set for 2014–2015</t>
    <phoneticPr fontId="23" type="noConversion"/>
  </si>
  <si>
    <t>Insurance</t>
    <phoneticPr fontId="23" type="noConversion"/>
  </si>
  <si>
    <t>The Council has no tenancy agreements</t>
    <phoneticPr fontId="23" type="noConversion"/>
  </si>
  <si>
    <t>Two new Notice Boards</t>
  </si>
  <si>
    <t xml:space="preserve">Total </t>
    <phoneticPr fontId="23" type="noConversion"/>
  </si>
  <si>
    <t>DC</t>
  </si>
  <si>
    <t>Bus Shelter    on the A1198</t>
  </si>
  <si>
    <t>The Council has no leases</t>
  </si>
  <si>
    <t>Longstowe Parish Council</t>
    <phoneticPr fontId="23" type="noConversion"/>
  </si>
  <si>
    <t>Village</t>
  </si>
  <si>
    <t>TOTALS</t>
  </si>
  <si>
    <t>The Council undertook no agency work on behalf of authorities</t>
    <phoneticPr fontId="23" type="noConversion"/>
  </si>
  <si>
    <t>Play Equipment – Village Hall</t>
  </si>
  <si>
    <t>Leases</t>
  </si>
  <si>
    <t>DATE</t>
  </si>
  <si>
    <t>The Info Commissioner: Data Protection renewal</t>
  </si>
  <si>
    <t>PRECEPT set for 2014–2015:</t>
    <phoneticPr fontId="23" type="noConversion"/>
  </si>
  <si>
    <t>––––––– INCOME –––––––</t>
  </si>
  <si>
    <t>TOTAL</t>
  </si>
  <si>
    <t>Tenancies</t>
  </si>
  <si>
    <t>Nil</t>
  </si>
  <si>
    <t>Pension Contributions</t>
  </si>
  <si>
    <t>VAT</t>
  </si>
  <si>
    <t>PRECEPT</t>
    <phoneticPr fontId="23" type="noConversion"/>
  </si>
  <si>
    <t>We are required to keep the following available:</t>
    <phoneticPr fontId="23" type="noConversion"/>
  </si>
  <si>
    <t>PRECEPT set for 2013–2014:</t>
    <phoneticPr fontId="23" type="noConversion"/>
  </si>
  <si>
    <t>PRECEPT set for 2015–2016</t>
    <phoneticPr fontId="23" type="noConversion"/>
  </si>
  <si>
    <t>Current account</t>
  </si>
  <si>
    <t>* DD from 2016</t>
  </si>
  <si>
    <t>Michael Murden: bus shelter cleaning</t>
  </si>
  <si>
    <t>BT: Wayleave agreement</t>
  </si>
  <si>
    <t xml:space="preserve">  </t>
  </si>
  <si>
    <t>PRECEPT set for 2016–2017</t>
    <phoneticPr fontId="23" type="noConversion"/>
  </si>
  <si>
    <t>Debts outstanding</t>
  </si>
  <si>
    <t>+ Exps</t>
    <phoneticPr fontId="4" type="noConversion"/>
  </si>
  <si>
    <t>DD</t>
    <phoneticPr fontId="4" type="noConversion"/>
  </si>
  <si>
    <t>11 meetings +</t>
    <phoneticPr fontId="4" type="noConversion"/>
  </si>
  <si>
    <t>Skylark</t>
    <phoneticPr fontId="23" type="noConversion"/>
  </si>
  <si>
    <t>Village Maintenance</t>
    <phoneticPr fontId="23" type="noConversion"/>
  </si>
  <si>
    <t xml:space="preserve">Less: </t>
    <phoneticPr fontId="4" type="noConversion"/>
  </si>
  <si>
    <t>Assets</t>
  </si>
  <si>
    <t>Deposit account</t>
  </si>
  <si>
    <t>Deposit Account</t>
  </si>
  <si>
    <t>Skylark</t>
  </si>
  <si>
    <t>Village Sign</t>
  </si>
  <si>
    <t>Carried forward</t>
  </si>
  <si>
    <t>Vat</t>
  </si>
  <si>
    <t>Clerk's</t>
  </si>
  <si>
    <t>RECPTS.</t>
  </si>
  <si>
    <t>Transparancy Fund</t>
    <phoneticPr fontId="23" type="noConversion"/>
  </si>
  <si>
    <t>Computer + scanner</t>
    <phoneticPr fontId="23" type="noConversion"/>
  </si>
  <si>
    <t>includes election costs of £1,000</t>
    <phoneticPr fontId="23" type="noConversion"/>
  </si>
  <si>
    <t>Mr A. Church, grass-cutting</t>
    <phoneticPr fontId="4" type="noConversion"/>
  </si>
  <si>
    <t>Longstowe Parish Council:  Asset List    (do NOT write down)</t>
  </si>
  <si>
    <t>Insurance</t>
  </si>
  <si>
    <t>Misc</t>
  </si>
  <si>
    <t>PRECEPT set for 2013–2014</t>
    <phoneticPr fontId="23" type="noConversion"/>
  </si>
  <si>
    <t>Admin</t>
  </si>
  <si>
    <t>Longstowe Parish Council:  Bank Reconciliation</t>
  </si>
  <si>
    <t>Transparancy Grants</t>
    <phoneticPr fontId="23" type="noConversion"/>
  </si>
  <si>
    <t>M'ed</t>
    <phoneticPr fontId="4" type="noConversion"/>
  </si>
  <si>
    <t>Reserve</t>
  </si>
  <si>
    <t>Speed Limit in hand</t>
  </si>
  <si>
    <t>Transparancy Fund</t>
  </si>
  <si>
    <t>Internet + software</t>
    <phoneticPr fontId="4" type="noConversion"/>
  </si>
  <si>
    <t>Deposit Account interest</t>
    <phoneticPr fontId="4" type="noConversion"/>
  </si>
  <si>
    <t>Balances brought forward</t>
  </si>
  <si>
    <t>Total</t>
  </si>
  <si>
    <t>£</t>
  </si>
  <si>
    <t>Less Election costs:</t>
    <phoneticPr fontId="23" type="noConversion"/>
  </si>
  <si>
    <t>Less Election costs refunded:</t>
    <phoneticPr fontId="23" type="noConversion"/>
  </si>
  <si>
    <t>PRECEPT set for 2017–2018</t>
    <phoneticPr fontId="23" type="noConversion"/>
  </si>
  <si>
    <t>28/10/2013</t>
    <phoneticPr fontId="23" type="noConversion"/>
  </si>
  <si>
    <t>There are no loans outstanding</t>
  </si>
  <si>
    <t>Bank Interest</t>
    <phoneticPr fontId="23" type="noConversion"/>
  </si>
  <si>
    <t>Deposit Account interest</t>
  </si>
  <si>
    <t>Assuming Election costs of £1,000 should be added to the reserve over time, I recommend that the PRECEPT for the next year remains at the same level, £5,250. Assuming we slightly underspend each year, and don't have an election, we should be able to maintain this level for some years. We must be aware that the Government is still considering capping Parish Councils' increases in the same way that District and County Councils have been capped.</t>
    <phoneticPr fontId="23" type="noConversion"/>
  </si>
  <si>
    <t>Section 137 Payments</t>
    <phoneticPr fontId="23" type="noConversion"/>
  </si>
  <si>
    <t>The Council made no payments under S.137</t>
    <phoneticPr fontId="23" type="noConversion"/>
  </si>
  <si>
    <t>£</t>
    <phoneticPr fontId="23" type="noConversion"/>
  </si>
  <si>
    <t>Salary</t>
  </si>
  <si>
    <t>PMENTS.</t>
  </si>
  <si>
    <t>Original Cost</t>
  </si>
  <si>
    <t>Fees</t>
  </si>
  <si>
    <t>Acc</t>
  </si>
  <si>
    <t>Mileage</t>
  </si>
  <si>
    <t>Bank Balances brought forward</t>
    <phoneticPr fontId="23" type="noConversion"/>
  </si>
  <si>
    <t>PRECEPT</t>
  </si>
  <si>
    <t>Income</t>
  </si>
  <si>
    <t>Maintenance</t>
  </si>
  <si>
    <t>Notes:</t>
  </si>
  <si>
    <t>Bank Balances carried forward</t>
    <phoneticPr fontId="23" type="noConversion"/>
  </si>
  <si>
    <t>Less:</t>
    <phoneticPr fontId="23" type="noConversion"/>
  </si>
  <si>
    <t>PRECEPT set for 2019–2020</t>
    <phoneticPr fontId="23" type="noConversion"/>
  </si>
  <si>
    <t>Agency Work</t>
  </si>
  <si>
    <t>must include election cost budget of £1,000+</t>
    <phoneticPr fontId="23" type="noConversion"/>
  </si>
  <si>
    <t>PRECEPT set for 2011–2012</t>
    <phoneticPr fontId="23" type="noConversion"/>
  </si>
  <si>
    <t>Village Seat</t>
  </si>
  <si>
    <t>TOTAL in hand</t>
    <phoneticPr fontId="23" type="noConversion"/>
  </si>
  <si>
    <t>Leaving BALANCE of</t>
    <phoneticPr fontId="23" type="noConversion"/>
  </si>
  <si>
    <t>6 x £120 + £60 + £100 + £50</t>
    <phoneticPr fontId="23" type="noConversion"/>
  </si>
  <si>
    <t>Includes election costs of £750</t>
    <phoneticPr fontId="23" type="noConversion"/>
  </si>
  <si>
    <t>includes election costs of £1,000 (not used)</t>
    <phoneticPr fontId="23" type="noConversion"/>
  </si>
  <si>
    <t>The net balances reconcile to the Cash Book (receipts and payments account) for the year, as follows:</t>
  </si>
  <si>
    <t>CASH BOOK:</t>
  </si>
  <si>
    <t>Add: Receipts in the year</t>
  </si>
  <si>
    <t>half to be reclaimed from VH</t>
    <phoneticPr fontId="4" type="noConversion"/>
  </si>
  <si>
    <t>Clerk's salary + exps</t>
    <phoneticPr fontId="23" type="noConversion"/>
  </si>
  <si>
    <t>Deposit</t>
  </si>
  <si>
    <t>6 x £120 + £60 + £100 + £50</t>
    <phoneticPr fontId="23" type="noConversion"/>
  </si>
  <si>
    <t>BANK</t>
  </si>
  <si>
    <t>Date of purchase</t>
  </si>
  <si>
    <t>S106 payment</t>
    <phoneticPr fontId="23" type="noConversion"/>
  </si>
  <si>
    <t>Speed Limit in hand</t>
    <phoneticPr fontId="23" type="noConversion"/>
  </si>
  <si>
    <t>Other income</t>
    <phoneticPr fontId="23" type="noConversion"/>
  </si>
  <si>
    <t>Less: Payments in the year</t>
  </si>
  <si>
    <t>Training</t>
    <phoneticPr fontId="23" type="noConversion"/>
  </si>
  <si>
    <t>Fees</t>
    <phoneticPr fontId="23" type="noConversion"/>
  </si>
  <si>
    <t>Admin</t>
    <phoneticPr fontId="23" type="noConversion"/>
  </si>
  <si>
    <t>VAT</t>
    <phoneticPr fontId="23" type="noConversion"/>
  </si>
  <si>
    <t>PRECEPT set for 2010–2011</t>
    <phoneticPr fontId="23" type="noConversion"/>
  </si>
  <si>
    <t>DESCRIPTION</t>
  </si>
  <si>
    <t>CHEQUE</t>
  </si>
  <si>
    <t>Assets held were:</t>
  </si>
  <si>
    <t xml:space="preserve">Three Notice Boards </t>
  </si>
  <si>
    <t>SpeedWatch Grant</t>
    <phoneticPr fontId="23" type="noConversion"/>
  </si>
  <si>
    <t>Borrowings</t>
  </si>
  <si>
    <t>Refund</t>
  </si>
  <si>
    <t>Bus Shelter    on the High Street</t>
  </si>
  <si>
    <t>Bobbie Coe: salary + expenses (A/Clerk)</t>
  </si>
  <si>
    <t>Prepared by Bobbie Coe, Assistant Clerk &amp; RFO</t>
  </si>
  <si>
    <t>Section 1 – Accounting statements 2019/2020 for Longstowe Parish Council</t>
  </si>
  <si>
    <t>31 March 2020</t>
  </si>
  <si>
    <t>S106_1</t>
  </si>
  <si>
    <t>S106_2</t>
  </si>
  <si>
    <t>Grants and other funds</t>
  </si>
  <si>
    <t>Open space</t>
  </si>
  <si>
    <t>Community space</t>
  </si>
  <si>
    <t>both S106 payments may be used for a disabled toilet (see e-mails)</t>
  </si>
  <si>
    <t>This should be the Precept for one year</t>
  </si>
  <si>
    <t>Not yet received</t>
  </si>
  <si>
    <t>84c</t>
  </si>
  <si>
    <t>84d</t>
  </si>
  <si>
    <t>Longstowe Parish Council:  Accounting Statements</t>
  </si>
  <si>
    <t>Variance</t>
  </si>
  <si>
    <t>(+) Annual precept</t>
  </si>
  <si>
    <t>(+) Total other receipts</t>
  </si>
  <si>
    <t>(-) Staff costs</t>
  </si>
  <si>
    <t>(-) Loan interest/capital repayments</t>
  </si>
  <si>
    <t>(-) All other payments</t>
  </si>
  <si>
    <t>(=) Balances carried forward</t>
  </si>
  <si>
    <t>Total cash and short term investments</t>
  </si>
  <si>
    <t>Total fixed assets plus other long term investments and assets</t>
  </si>
  <si>
    <t>Total borrowings</t>
  </si>
  <si>
    <t>(If Applicable) Trust funds (including charitable) discolsure note</t>
  </si>
  <si>
    <t>31 March 2018</t>
  </si>
  <si>
    <t>31 March 2019</t>
  </si>
  <si>
    <t>CCC Street Lighting 01/10/18 to 30/09/19</t>
  </si>
  <si>
    <t>Victoire Press Ltd: Skylark April 2020</t>
  </si>
  <si>
    <t>HMRC: Income tax for Bobbie</t>
  </si>
  <si>
    <t>Computer</t>
  </si>
  <si>
    <t>Scanner / Printer</t>
  </si>
  <si>
    <t>PRECEPT set for 2020–2021</t>
  </si>
  <si>
    <t>From Web grant</t>
  </si>
  <si>
    <t>Not yet reclaimed</t>
  </si>
  <si>
    <t>£670 from grant</t>
  </si>
  <si>
    <t>Transparancy Fund (remainder)</t>
  </si>
  <si>
    <t>Reading Room (Trust) funds</t>
  </si>
  <si>
    <t>Must be kept separately</t>
  </si>
  <si>
    <t>Less £</t>
  </si>
  <si>
    <t>(reclaim VAT of 72.50)</t>
  </si>
  <si>
    <t>Totals</t>
  </si>
  <si>
    <t>31 March 2012</t>
  </si>
  <si>
    <t>31 March 2013</t>
  </si>
  <si>
    <t xml:space="preserve"> £ </t>
  </si>
  <si>
    <t>31 March 2014</t>
  </si>
  <si>
    <t>31 March 2015</t>
  </si>
  <si>
    <t>31 March 2016</t>
  </si>
  <si>
    <t>31 March 2017</t>
  </si>
  <si>
    <t>Longstowe Parish Council: Precept</t>
  </si>
  <si>
    <t>Longstowe Parish Council</t>
  </si>
  <si>
    <t>Information needed:</t>
  </si>
  <si>
    <t>the invoice date</t>
  </si>
  <si>
    <t>the supplier’s VAT registration</t>
  </si>
  <si>
    <t>the VAT amount</t>
  </si>
  <si>
    <t>the name of the organisation receiving goods or services on the invoice</t>
  </si>
  <si>
    <t>a brief description of goods or supplies</t>
  </si>
  <si>
    <t>your Unique Reference Number - sent to you by HMRC if you’ve already claimed</t>
  </si>
  <si>
    <t>your registered organisation postcode</t>
  </si>
  <si>
    <t>the start and end dates for your VAT claim</t>
  </si>
  <si>
    <t>a bank statement dated within the last 3 months from your claim to confirm your new address or bank account (if these have changed)</t>
  </si>
  <si>
    <t>If you’re claiming a refund for up to 5 invoices, you’ll need to manually enter the following information for each invoice:</t>
  </si>
  <si>
    <t>If you’re claiming a refund for more than 5 invoices, you’ll need to upload one spreadsheet or document providing the details above for all invoices.</t>
  </si>
  <si>
    <t>Your claim must be for a period of at least one calendar month and must end on the last day of a calendar month.</t>
  </si>
  <si>
    <t>If you want to make a claim for less than £100, it must cover a period of at least 12 months.</t>
  </si>
  <si>
    <t>XSV126000105983</t>
  </si>
  <si>
    <t>LPC Unique Reference Number</t>
  </si>
  <si>
    <t>LPC registered Post Code</t>
  </si>
  <si>
    <t>CB23 2UB</t>
  </si>
  <si>
    <t>Start to end dates for claim</t>
  </si>
  <si>
    <t>Bank deails</t>
  </si>
  <si>
    <t>Barclays</t>
  </si>
  <si>
    <t>20-17-19</t>
  </si>
  <si>
    <t>unchanged</t>
  </si>
  <si>
    <t>10588172</t>
  </si>
  <si>
    <t>836592300</t>
  </si>
  <si>
    <t>ebuyer</t>
  </si>
  <si>
    <t>Lenovo Laptop and HP Envy Printer</t>
  </si>
  <si>
    <t>Microsoft</t>
  </si>
  <si>
    <t>Microsoft Office 365 Software</t>
  </si>
  <si>
    <r>
      <t>Training</t>
    </r>
    <r>
      <rPr>
        <sz val="10"/>
        <color rgb="FFFF0000"/>
        <rFont val="Arial"/>
        <family val="2"/>
      </rPr>
      <t>*</t>
    </r>
  </si>
  <si>
    <t>These must be kept in a special account: only the interest can be used where other PC funds are not available</t>
  </si>
  <si>
    <t>Web site &amp; Training</t>
  </si>
  <si>
    <t>Charge to Grant</t>
  </si>
  <si>
    <t>Longstowe Parish Council 2020–2021</t>
  </si>
  <si>
    <t>2019-2020</t>
  </si>
  <si>
    <t>2020-2021</t>
  </si>
  <si>
    <t>31 March 2021</t>
  </si>
  <si>
    <t>Year ended 31 March 2021</t>
  </si>
  <si>
    <t>Summary for year 1 April 2020 to 31 March 2021</t>
  </si>
  <si>
    <t>Date: April 2021</t>
  </si>
  <si>
    <t>Balance per bank statements as at 31 March 2021</t>
  </si>
  <si>
    <t>Less: unpresented cheques at 31 March 2021</t>
  </si>
  <si>
    <t>Add: any un-banked cash at 31 March 2021</t>
  </si>
  <si>
    <t>Net balances as at 31 March 2021</t>
  </si>
  <si>
    <t>Opening Balances 1 April 2020</t>
  </si>
  <si>
    <t>Closing balance per cash book as at 31 March 2021</t>
  </si>
  <si>
    <t>Longstowe Parish Council:  Cash Book for year 1 April 2020 to 31 March 2021</t>
  </si>
  <si>
    <t>Unpresented cheques from 2019–2020</t>
  </si>
  <si>
    <t>Village Hall: rent of committee room 2019–2020</t>
  </si>
  <si>
    <t>Business Services at CAS: Community Action Suffolk ACRE: Parish Protect 20–21</t>
  </si>
  <si>
    <t>South Cambs DC: Direct Credit: Precept 20–21 B</t>
  </si>
  <si>
    <t>Office 365 Home (12/10/20–12/10/21) £79.99</t>
  </si>
  <si>
    <t>Victoire Prss Ltd: Skylark, Oct 2020</t>
  </si>
  <si>
    <t>Victoire Press Ltd: Skylark Jan 2021</t>
  </si>
  <si>
    <t>Eyelid Productions: Website maintenance</t>
  </si>
  <si>
    <t>HMRC: Income Tax</t>
  </si>
  <si>
    <t>Opus Energy Corpor</t>
  </si>
  <si>
    <t>DD</t>
  </si>
  <si>
    <t xml:space="preserve">cleared   </t>
  </si>
  <si>
    <t>CAPALC affiliation fee + GDP (£50)</t>
  </si>
  <si>
    <t>7f</t>
  </si>
  <si>
    <t>7g</t>
  </si>
  <si>
    <t>7h</t>
  </si>
  <si>
    <t>7i</t>
  </si>
  <si>
    <t>Eyelid Productions: Accessibility Regulations webpage update</t>
  </si>
  <si>
    <t>7k</t>
  </si>
  <si>
    <t>7l</t>
  </si>
  <si>
    <t>7m</t>
  </si>
  <si>
    <t>7a</t>
  </si>
  <si>
    <t>7b</t>
  </si>
  <si>
    <t>7c</t>
  </si>
  <si>
    <t>7d</t>
  </si>
  <si>
    <t>7e</t>
  </si>
  <si>
    <t>ebuyer.com (via Barbara Heaton-Smith) Computer and Scanner (grant)</t>
  </si>
  <si>
    <t>Victoire Press Ltd: Skylark July 2020</t>
  </si>
  <si>
    <t>CCC Street Lighting 30/09/19–05/05/20</t>
  </si>
  <si>
    <t>Covid Community Grant, SCDC</t>
  </si>
  <si>
    <t>Mr P. White: Battery recycling tube at VH</t>
  </si>
  <si>
    <t>Clerk: salary + expenses (£70)</t>
  </si>
  <si>
    <t>29a</t>
  </si>
  <si>
    <t>29b, 40a</t>
  </si>
  <si>
    <t>40c</t>
  </si>
  <si>
    <t>40b</t>
  </si>
  <si>
    <t>51a</t>
  </si>
  <si>
    <t>62b</t>
  </si>
  <si>
    <t>84a</t>
  </si>
  <si>
    <t>84b</t>
  </si>
  <si>
    <t>84e</t>
  </si>
  <si>
    <t>GB 724594615</t>
  </si>
  <si>
    <t>GB724594615</t>
  </si>
  <si>
    <t>VAT Record: GB724594615</t>
  </si>
  <si>
    <t>Company name on VAT Registration:</t>
  </si>
  <si>
    <t>MICROSOFT LIMITED</t>
  </si>
  <si>
    <t>VAT number:</t>
  </si>
  <si>
    <t>VAT ID:</t>
  </si>
  <si>
    <t>724-594-615 </t>
  </si>
  <si>
    <t>Jurisdiction of VAT number:</t>
  </si>
  <si>
    <t>United Kindom (UK) </t>
  </si>
  <si>
    <t>Issuing Authority of VAT number:</t>
  </si>
  <si>
    <t>HMRC (HM Revenue &amp; Customs) </t>
  </si>
  <si>
    <t>VAT status:</t>
  </si>
  <si>
    <t>Valid VAT Number</t>
  </si>
  <si>
    <t>Address on VAT Registration:</t>
  </si>
  <si>
    <t>FAO CAROLYN CHENEY</t>
  </si>
  <si>
    <t>MICROSOFT CAMPUS</t>
  </si>
  <si>
    <t>READING</t>
  </si>
  <si>
    <t>RG6 1WG </t>
  </si>
  <si>
    <t>Period when VAT number issued: </t>
  </si>
  <si>
    <t>Issued before November 2009</t>
  </si>
  <si>
    <t>Last checked by us:</t>
  </si>
  <si>
    <t>2021-01-16 </t>
  </si>
  <si>
    <t>818290029</t>
  </si>
  <si>
    <t>Opus Energy (Corporate) Ltd</t>
  </si>
  <si>
    <t>VAT return for 2019/21</t>
  </si>
  <si>
    <t>01/04/2019 to 31/03/2021</t>
  </si>
  <si>
    <t>Longstowe Village Street Lighting</t>
  </si>
  <si>
    <t>Longstowe Parish Council via Clerk</t>
  </si>
  <si>
    <t xml:space="preserve">Longstowe Parish Council  </t>
  </si>
  <si>
    <t>At 31 March 2021 debts outstanding to the council were</t>
  </si>
  <si>
    <t>VAT reclaimable for the period 1 April 2019 to 31 March 2021</t>
  </si>
  <si>
    <t>95b</t>
  </si>
  <si>
    <t>95c</t>
  </si>
  <si>
    <t>95d</t>
  </si>
  <si>
    <t>95f</t>
  </si>
  <si>
    <t>95g</t>
  </si>
  <si>
    <t>95h</t>
  </si>
  <si>
    <t>95i</t>
  </si>
  <si>
    <t>95j</t>
  </si>
  <si>
    <t>SLCC (Society of Local Council Clerks)</t>
  </si>
  <si>
    <t>95k</t>
  </si>
  <si>
    <t>106a</t>
  </si>
  <si>
    <t>106c</t>
  </si>
  <si>
    <t>(reclaim VAT of 13.33+13.33)</t>
  </si>
  <si>
    <t>C/F</t>
  </si>
  <si>
    <t>Victoire Press Ltd: Skylark March 2021</t>
  </si>
  <si>
    <t>95e</t>
  </si>
  <si>
    <t>No assets were purchased or disposed of during the year</t>
  </si>
  <si>
    <t>PRECEPT set for 2021–2022</t>
  </si>
  <si>
    <t>Bobbie Coe</t>
  </si>
  <si>
    <t>College of Animal Welfare on behalf of Longstowe Parish Council</t>
  </si>
  <si>
    <t xml:space="preserve">Total    </t>
  </si>
  <si>
    <t>Invoice Date</t>
  </si>
  <si>
    <t>Supplier's VAT registration number</t>
  </si>
  <si>
    <t>Description of the goods or services supplied</t>
  </si>
  <si>
    <t>Receiving Organisation</t>
  </si>
  <si>
    <t>VAT Paid</t>
  </si>
  <si>
    <t>Petty cash float:  no petty cash held</t>
  </si>
  <si>
    <t>TOTAL claimed</t>
  </si>
  <si>
    <t xml:space="preserve">Explanation of variances – pro forma </t>
  </si>
  <si>
    <t xml:space="preserve">Name of smaller authority: </t>
  </si>
  <si>
    <t>South Cambridgeshire</t>
  </si>
  <si>
    <t>2019/20</t>
  </si>
  <si>
    <t>2020/21</t>
  </si>
  <si>
    <t>Explanation Required?</t>
  </si>
  <si>
    <t>%</t>
  </si>
  <si>
    <t>1 Balances Brought Forward</t>
  </si>
  <si>
    <t>2 Precept or Rates and Levies</t>
  </si>
  <si>
    <t>3 Total Other Receipts</t>
  </si>
  <si>
    <t>£8333.89 received in 2019/20 is an endowment fund and is ring-fenced.</t>
  </si>
  <si>
    <t>4 Staff Costs</t>
  </si>
  <si>
    <t>5 Loan Interest/Capital Repayment</t>
  </si>
  <si>
    <t>6 All Other Payments</t>
  </si>
  <si>
    <t>computer £435 and web site £670 purchased 2019/2020</t>
  </si>
  <si>
    <t>7 Balances Carried Forward</t>
  </si>
  <si>
    <t>VARIANCE EXPLANATION NOT REQUIRED</t>
  </si>
  <si>
    <t>8 Total Cash and Short Term Investments</t>
  </si>
  <si>
    <t>9 Total Fixed Assets plus Other Long Term Investments and Assets</t>
  </si>
  <si>
    <t>10 Total Borrowings</t>
  </si>
  <si>
    <t>Rounding errors of up to £2 are tolerable</t>
  </si>
  <si>
    <t>Variances of £200 or less are tolerable</t>
  </si>
  <si>
    <t>BOX 10 VARIANCE EXPLANATION NOT REQUIRED IF CHANGE CAN BE EXPLAINED BY BOX 5 (CAPITAL PLUS INTEREST PAYMENT)</t>
  </si>
  <si>
    <r>
      <t>County area (local councils and parish meetings only):</t>
    </r>
    <r>
      <rPr>
        <b/>
        <sz val="8"/>
        <color rgb="FF000000"/>
        <rFont val="Arial"/>
        <family val="2"/>
      </rPr>
      <t xml:space="preserve"> </t>
    </r>
  </si>
  <si>
    <r>
      <t xml:space="preserve">Insert figures from Section 2 of the AGAR in all </t>
    </r>
    <r>
      <rPr>
        <b/>
        <u/>
        <sz val="10"/>
        <color rgb="FF333399"/>
        <rFont val="Arial"/>
        <family val="2"/>
      </rPr>
      <t>Blue</t>
    </r>
    <r>
      <rPr>
        <b/>
        <sz val="10"/>
        <color rgb="FFFF0000"/>
        <rFont val="Arial"/>
        <family val="2"/>
      </rPr>
      <t xml:space="preserve"> highlighted boxes </t>
    </r>
  </si>
  <si>
    <r>
      <t xml:space="preserve">Next, please provide full explanations, including numerical values, for the following that will be flagged in the green boxes where relevant:
</t>
    </r>
    <r>
      <rPr>
        <sz val="10"/>
        <color rgb="FF000000"/>
        <rFont val="Arial"/>
        <family val="2"/>
      </rPr>
      <t xml:space="preserve">• variances of more than 15% between totals for individual boxes (except variances of less than £200); 
• </t>
    </r>
    <r>
      <rPr>
        <b/>
        <sz val="10"/>
        <color rgb="FFFF0000"/>
        <rFont val="Arial"/>
        <family val="2"/>
      </rPr>
      <t>New from 2020/21:</t>
    </r>
    <r>
      <rPr>
        <sz val="10"/>
        <color rgb="FF000000"/>
        <rFont val="Arial"/>
        <family val="2"/>
      </rPr>
      <t xml:space="preserve"> variances of £100,000 or more require explanation regardless of the % variation year on year;
• a breakdown of approved reserves on the next tab if the total reserves (Box 7) figure is more than twice the annual precept/rates &amp; levies value (Box 2).</t>
    </r>
  </si>
  <si>
    <r>
      <t xml:space="preserve">Automatic responses trigger below based on figures input, </t>
    </r>
    <r>
      <rPr>
        <b/>
        <sz val="11"/>
        <color rgb="FF000000"/>
        <rFont val="Arial"/>
        <family val="2"/>
      </rPr>
      <t>DO NOT OVERWRITE THESE BOXES</t>
    </r>
  </si>
  <si>
    <r>
      <t xml:space="preserve">Explanation from smaller authority </t>
    </r>
    <r>
      <rPr>
        <b/>
        <u/>
        <sz val="11"/>
        <color rgb="FF000000"/>
        <rFont val="Arial"/>
        <family val="2"/>
      </rPr>
      <t>(must include narrative and supporting figures)</t>
    </r>
  </si>
  <si>
    <t>Explanation for ‘high’ reserves</t>
  </si>
  <si>
    <t>(Please complete the highlighted boxes.)</t>
  </si>
  <si>
    <t>Box 7 is more than twice Box 2 because the authority held the following breakdown of reserves at the year end:</t>
  </si>
  <si>
    <t>Earmarked reserves:</t>
  </si>
  <si>
    <t>Reserve 1</t>
  </si>
  <si>
    <t>Endowment Fund (from the former Reading Room Trust)</t>
  </si>
  <si>
    <t>Reserve 2</t>
  </si>
  <si>
    <t>Transparancy Fund (Internet + Software)</t>
  </si>
  <si>
    <t>Reserve 3</t>
  </si>
  <si>
    <t>Transparancy Fund (Computer)</t>
  </si>
  <si>
    <t>Reserve 4</t>
  </si>
  <si>
    <t>Speed Limit Fund</t>
  </si>
  <si>
    <t>Reserve 5</t>
  </si>
  <si>
    <t>S106 (open space)</t>
  </si>
  <si>
    <t>Reserve 6</t>
  </si>
  <si>
    <t>S106 (community space)</t>
  </si>
  <si>
    <t>Reserve 7</t>
  </si>
  <si>
    <t>General reserve</t>
  </si>
  <si>
    <t>Total reserves (must agree to Box 7)</t>
  </si>
  <si>
    <t>South Cambs DC: Direct Credit: Precept 20–21 A</t>
  </si>
  <si>
    <t>South Cambs DC: Direct Credit: Precept 20–21 C</t>
  </si>
  <si>
    <t>100765 : Clerk: salary + expenses (£70)</t>
  </si>
  <si>
    <t>100766 : SLCC (Society of Local Council Clerks)</t>
  </si>
  <si>
    <t>100768 : Bobbie Coe</t>
  </si>
  <si>
    <t>100769 : HMRC: Income Tax</t>
  </si>
  <si>
    <t>100767 : Victoire Press Ltd: Skylark March 2021</t>
  </si>
  <si>
    <t>117d</t>
  </si>
  <si>
    <t>Payment received April 2021</t>
  </si>
  <si>
    <t>FROM: Reading Room Trust Fund</t>
  </si>
  <si>
    <t>Clerk's payment of £969 not paid</t>
  </si>
  <si>
    <t>Covid Grant, BT</t>
  </si>
  <si>
    <t>* Staff costs incomplete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</si>
</sst>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_)"/>
    <numFmt numFmtId="165" formatCode="0.00_)"/>
    <numFmt numFmtId="166" formatCode="_-* #,##0_-;\-* #,##0_-;_-* &quot;-&quot;??_-;_-@_-"/>
    <numFmt numFmtId="167" formatCode="dd\ mmmm\ yyyy"/>
    <numFmt numFmtId="168" formatCode="0.0000"/>
  </numFmts>
  <fonts count="56" x14ac:knownFonts="1">
    <font>
      <sz val="10"/>
      <name val="Arial"/>
    </font>
    <font>
      <sz val="10"/>
      <name val="Arial"/>
      <family val="2"/>
    </font>
    <font>
      <b/>
      <sz val="10"/>
      <name val="Arial"/>
      <family val="2"/>
    </font>
    <font>
      <b/>
      <sz val="12"/>
      <name val="Arial"/>
      <family val="2"/>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Verdana"/>
      <family val="2"/>
    </font>
    <font>
      <i/>
      <sz val="10"/>
      <name val="Arial"/>
      <family val="2"/>
    </font>
    <font>
      <b/>
      <sz val="14"/>
      <name val="Arial"/>
      <family val="2"/>
    </font>
    <font>
      <sz val="10"/>
      <name val="Arial"/>
      <family val="2"/>
    </font>
    <font>
      <sz val="10"/>
      <color indexed="10"/>
      <name val="Arial"/>
      <family val="2"/>
    </font>
    <font>
      <i/>
      <sz val="10"/>
      <color indexed="10"/>
      <name val="Arial"/>
      <family val="2"/>
    </font>
    <font>
      <sz val="12"/>
      <name val="Arial"/>
      <family val="2"/>
    </font>
    <font>
      <b/>
      <sz val="10"/>
      <name val="Arial"/>
      <family val="2"/>
    </font>
    <font>
      <sz val="10"/>
      <color rgb="FFFF0000"/>
      <name val="Arial"/>
      <family val="2"/>
    </font>
    <font>
      <sz val="14"/>
      <name val="Arial"/>
      <family val="2"/>
    </font>
    <font>
      <sz val="14"/>
      <color rgb="FF0B0C0C"/>
      <name val="Arial"/>
      <family val="2"/>
    </font>
    <font>
      <b/>
      <sz val="16"/>
      <name val="Arial"/>
      <family val="2"/>
    </font>
    <font>
      <sz val="12"/>
      <color rgb="FFFF0000"/>
      <name val="Arial"/>
      <family val="2"/>
    </font>
    <font>
      <sz val="12"/>
      <color indexed="10"/>
      <name val="Arial"/>
      <family val="2"/>
    </font>
    <font>
      <b/>
      <sz val="10"/>
      <color rgb="FFFF0000"/>
      <name val="Arial"/>
      <family val="2"/>
    </font>
    <font>
      <sz val="14"/>
      <color rgb="FF000000"/>
      <name val="Arial"/>
      <family val="2"/>
    </font>
    <font>
      <sz val="20"/>
      <color rgb="FF2AC2D4"/>
      <name val="Arial"/>
      <family val="2"/>
    </font>
    <font>
      <sz val="14"/>
      <color theme="1"/>
      <name val="Arial"/>
      <family val="2"/>
    </font>
    <font>
      <b/>
      <sz val="14"/>
      <color theme="1"/>
      <name val="Arial"/>
      <family val="2"/>
    </font>
    <font>
      <b/>
      <sz val="14"/>
      <color rgb="FF0B0C0C"/>
      <name val="Arial"/>
      <family val="2"/>
    </font>
    <font>
      <b/>
      <sz val="11"/>
      <color rgb="FFFF0000"/>
      <name val="Arial"/>
      <family val="2"/>
    </font>
    <font>
      <sz val="11"/>
      <color rgb="FF000000"/>
      <name val="Arial"/>
      <family val="2"/>
    </font>
    <font>
      <sz val="8"/>
      <color rgb="FF000000"/>
      <name val="Arial"/>
      <family val="2"/>
    </font>
    <font>
      <b/>
      <sz val="8"/>
      <color rgb="FF000000"/>
      <name val="Arial"/>
      <family val="2"/>
    </font>
    <font>
      <b/>
      <u/>
      <sz val="10"/>
      <color rgb="FF333399"/>
      <name val="Arial"/>
      <family val="2"/>
    </font>
    <font>
      <b/>
      <sz val="10"/>
      <color rgb="FF000000"/>
      <name val="Arial"/>
      <family val="2"/>
    </font>
    <font>
      <sz val="10"/>
      <color rgb="FF000000"/>
      <name val="Arial"/>
      <family val="2"/>
    </font>
    <font>
      <sz val="10"/>
      <color rgb="FF000000"/>
      <name val="Symbol"/>
      <family val="1"/>
      <charset val="2"/>
    </font>
    <font>
      <b/>
      <sz val="11"/>
      <color rgb="FF000000"/>
      <name val="Arial"/>
      <family val="2"/>
    </font>
    <font>
      <b/>
      <u/>
      <sz val="11"/>
      <color rgb="FF000000"/>
      <name val="Arial"/>
      <family val="2"/>
    </font>
    <font>
      <b/>
      <sz val="14"/>
      <color rgb="FF000000"/>
      <name val="Calibri"/>
      <family val="2"/>
    </font>
    <font>
      <sz val="11"/>
      <color rgb="FF000000"/>
      <name val="Calibri"/>
      <family val="2"/>
    </font>
    <font>
      <b/>
      <sz val="11"/>
      <color rgb="FF000000"/>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F0"/>
        <bgColor rgb="FF000000"/>
      </patternFill>
    </fill>
    <fill>
      <patternFill patternType="solid">
        <fgColor rgb="FF92D050"/>
        <bgColor rgb="FF000000"/>
      </patternFill>
    </fill>
    <fill>
      <patternFill patternType="solid">
        <fgColor rgb="FF66CCFF"/>
        <bgColor rgb="FF000000"/>
      </patternFill>
    </fill>
    <fill>
      <patternFill patternType="solid">
        <fgColor rgb="FFFFFF00"/>
        <bgColor rgb="FF000000"/>
      </patternFill>
    </fill>
    <fill>
      <patternFill patternType="solid">
        <fgColor rgb="FFFF0000"/>
        <bgColor rgb="FF000000"/>
      </patternFill>
    </fill>
    <fill>
      <patternFill patternType="solid">
        <fgColor rgb="FFFF66FF"/>
        <bgColor rgb="FF000000"/>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top style="thin">
        <color indexed="22"/>
      </top>
      <bottom style="thin">
        <color indexed="22"/>
      </bottom>
      <diagonal/>
    </border>
    <border>
      <left style="medium">
        <color indexed="64"/>
      </left>
      <right style="medium">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medium">
        <color indexed="64"/>
      </bottom>
      <diagonal/>
    </border>
    <border>
      <left style="thin">
        <color indexed="22"/>
      </left>
      <right/>
      <top style="thin">
        <color indexed="22"/>
      </top>
      <bottom style="medium">
        <color indexed="64"/>
      </bottom>
      <diagonal/>
    </border>
    <border>
      <left style="medium">
        <color indexed="64"/>
      </left>
      <right style="medium">
        <color indexed="64"/>
      </right>
      <top style="thin">
        <color indexed="22"/>
      </top>
      <bottom style="medium">
        <color indexed="64"/>
      </bottom>
      <diagonal/>
    </border>
    <border>
      <left/>
      <right style="thin">
        <color indexed="22"/>
      </right>
      <top style="thin">
        <color indexed="22"/>
      </top>
      <bottom style="medium">
        <color indexed="64"/>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medium">
        <color indexed="64"/>
      </left>
      <right style="medium">
        <color indexed="64"/>
      </right>
      <top/>
      <bottom style="thin">
        <color indexed="22"/>
      </bottom>
      <diagonal/>
    </border>
    <border>
      <left/>
      <right style="thin">
        <color indexed="22"/>
      </right>
      <top/>
      <bottom style="thin">
        <color indexed="22"/>
      </bottom>
      <diagonal/>
    </border>
    <border>
      <left style="thin">
        <color indexed="22"/>
      </left>
      <right style="thin">
        <color indexed="22"/>
      </right>
      <top style="medium">
        <color indexed="64"/>
      </top>
      <bottom style="medium">
        <color indexed="64"/>
      </bottom>
      <diagonal/>
    </border>
    <border>
      <left/>
      <right/>
      <top style="thin">
        <color indexed="22"/>
      </top>
      <bottom style="thin">
        <color indexed="22"/>
      </bottom>
      <diagonal/>
    </border>
    <border>
      <left/>
      <right/>
      <top style="medium">
        <color indexed="64"/>
      </top>
      <bottom/>
      <diagonal/>
    </border>
    <border>
      <left style="thin">
        <color indexed="22"/>
      </left>
      <right style="thin">
        <color indexed="22"/>
      </right>
      <top/>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64"/>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style="medium">
        <color indexed="64"/>
      </left>
      <right style="medium">
        <color indexed="64"/>
      </right>
      <top style="thin">
        <color indexed="64"/>
      </top>
      <bottom style="thin">
        <color indexed="22"/>
      </bottom>
      <diagonal/>
    </border>
    <border>
      <left/>
      <right style="thin">
        <color indexed="22"/>
      </right>
      <top style="thin">
        <color indexed="64"/>
      </top>
      <bottom style="thin">
        <color indexed="22"/>
      </bottom>
      <diagonal/>
    </border>
    <border>
      <left style="thin">
        <color indexed="64"/>
      </left>
      <right style="thin">
        <color indexed="22"/>
      </right>
      <top style="thin">
        <color indexed="22"/>
      </top>
      <bottom style="medium">
        <color indexed="64"/>
      </bottom>
      <diagonal/>
    </border>
    <border>
      <left style="thin">
        <color indexed="64"/>
      </left>
      <right style="thin">
        <color indexed="22"/>
      </right>
      <top style="medium">
        <color indexed="64"/>
      </top>
      <bottom style="medium">
        <color indexed="64"/>
      </bottom>
      <diagonal/>
    </border>
    <border>
      <left style="thin">
        <color indexed="22"/>
      </left>
      <right style="thin">
        <color indexed="64"/>
      </right>
      <top style="thin">
        <color indexed="64"/>
      </top>
      <bottom style="thin">
        <color indexed="22"/>
      </bottom>
      <diagonal/>
    </border>
    <border>
      <left/>
      <right style="medium">
        <color indexed="64"/>
      </right>
      <top style="thin">
        <color indexed="22"/>
      </top>
      <bottom style="thin">
        <color indexed="22"/>
      </bottom>
      <diagonal/>
    </border>
    <border>
      <left style="medium">
        <color indexed="64"/>
      </left>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medium">
        <color indexed="64"/>
      </bottom>
      <diagonal/>
    </border>
    <border>
      <left style="thin">
        <color indexed="22"/>
      </left>
      <right style="thin">
        <color indexed="64"/>
      </right>
      <top/>
      <bottom style="thin">
        <color indexed="22"/>
      </bottom>
      <diagonal/>
    </border>
    <border>
      <left style="thin">
        <color indexed="22"/>
      </left>
      <right style="thin">
        <color indexed="64"/>
      </right>
      <top style="medium">
        <color indexed="64"/>
      </top>
      <bottom style="medium">
        <color indexed="64"/>
      </bottom>
      <diagonal/>
    </border>
    <border>
      <left/>
      <right/>
      <top style="thin">
        <color indexed="22"/>
      </top>
      <bottom/>
      <diagonal/>
    </border>
    <border>
      <left style="thin">
        <color indexed="64"/>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64"/>
      </left>
      <right/>
      <top/>
      <bottom/>
      <diagonal/>
    </border>
    <border>
      <left style="thin">
        <color indexed="64"/>
      </left>
      <right/>
      <top style="medium">
        <color indexed="64"/>
      </top>
      <bottom/>
      <diagonal/>
    </border>
    <border>
      <left style="thin">
        <color indexed="64"/>
      </left>
      <right style="thin">
        <color rgb="FFC0C0C0"/>
      </right>
      <top style="thin">
        <color indexed="64"/>
      </top>
      <bottom style="thin">
        <color rgb="FFC0C0C0"/>
      </bottom>
      <diagonal/>
    </border>
    <border>
      <left/>
      <right style="thin">
        <color rgb="FFC0C0C0"/>
      </right>
      <top style="thin">
        <color indexed="64"/>
      </top>
      <bottom style="thin">
        <color rgb="FFC0C0C0"/>
      </bottom>
      <diagonal/>
    </border>
    <border>
      <left/>
      <right style="thin">
        <color indexed="64"/>
      </right>
      <top style="thin">
        <color indexed="64"/>
      </top>
      <bottom style="thin">
        <color rgb="FFC0C0C0"/>
      </bottom>
      <diagonal/>
    </border>
    <border>
      <left/>
      <right style="thin">
        <color rgb="FFC0C0C0"/>
      </right>
      <top style="thin">
        <color rgb="FFC0C0C0"/>
      </top>
      <bottom style="thin">
        <color rgb="FFC0C0C0"/>
      </bottom>
      <diagonal/>
    </border>
    <border>
      <left style="thin">
        <color indexed="64"/>
      </left>
      <right style="thin">
        <color rgb="FFC0C0C0"/>
      </right>
      <top/>
      <bottom style="thin">
        <color rgb="FFC0C0C0"/>
      </bottom>
      <diagonal/>
    </border>
    <border>
      <left/>
      <right style="thin">
        <color rgb="FFC0C0C0"/>
      </right>
      <top/>
      <bottom style="thin">
        <color rgb="FFC0C0C0"/>
      </bottom>
      <diagonal/>
    </border>
    <border>
      <left/>
      <right style="thin">
        <color indexed="64"/>
      </right>
      <top/>
      <bottom style="thin">
        <color rgb="FFC0C0C0"/>
      </bottom>
      <diagonal/>
    </border>
    <border>
      <left style="thin">
        <color indexed="64"/>
      </left>
      <right style="thin">
        <color rgb="FFC0C0C0"/>
      </right>
      <top/>
      <bottom style="thin">
        <color indexed="64"/>
      </bottom>
      <diagonal/>
    </border>
    <border>
      <left/>
      <right style="thin">
        <color rgb="FFC0C0C0"/>
      </right>
      <top/>
      <bottom style="thin">
        <color indexed="64"/>
      </bottom>
      <diagonal/>
    </border>
    <border>
      <left/>
      <right style="thin">
        <color indexed="64"/>
      </right>
      <top/>
      <bottom style="thin">
        <color indexed="64"/>
      </bottom>
      <diagonal/>
    </border>
    <border>
      <left style="thin">
        <color rgb="FFC0C0C0"/>
      </left>
      <right style="thin">
        <color rgb="FFC0C0C0"/>
      </right>
      <top style="thin">
        <color rgb="FFC0C0C0"/>
      </top>
      <bottom style="thin">
        <color rgb="FFC0C0C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auto="1"/>
      </left>
      <right style="thin">
        <color theme="0" tint="-0.14996795556505021"/>
      </right>
      <top style="medium">
        <color auto="1"/>
      </top>
      <bottom style="thin">
        <color theme="0" tint="-0.14996795556505021"/>
      </bottom>
      <diagonal/>
    </border>
    <border>
      <left style="thin">
        <color theme="0" tint="-0.14996795556505021"/>
      </left>
      <right style="thin">
        <color theme="0" tint="-0.14996795556505021"/>
      </right>
      <top style="medium">
        <color auto="1"/>
      </top>
      <bottom style="thin">
        <color theme="0" tint="-0.14996795556505021"/>
      </bottom>
      <diagonal/>
    </border>
    <border>
      <left style="thin">
        <color theme="0" tint="-0.14996795556505021"/>
      </left>
      <right style="medium">
        <color auto="1"/>
      </right>
      <top style="medium">
        <color auto="1"/>
      </top>
      <bottom style="thin">
        <color theme="0" tint="-0.14996795556505021"/>
      </bottom>
      <diagonal/>
    </border>
    <border>
      <left style="medium">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auto="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medium">
        <color auto="1"/>
      </left>
      <right style="thin">
        <color theme="0" tint="-0.24994659260841701"/>
      </right>
      <top style="medium">
        <color auto="1"/>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style="medium">
        <color auto="1"/>
      </right>
      <top style="medium">
        <color auto="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auto="1"/>
      </bottom>
      <diagonal/>
    </border>
    <border>
      <left style="thin">
        <color theme="0" tint="-0.24994659260841701"/>
      </left>
      <right style="medium">
        <color auto="1"/>
      </right>
      <top style="thin">
        <color theme="0" tint="-0.24994659260841701"/>
      </top>
      <bottom style="medium">
        <color auto="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auto="1"/>
      </top>
      <bottom style="double">
        <color auto="1"/>
      </bottom>
      <diagonal/>
    </border>
    <border>
      <left style="medium">
        <color auto="1"/>
      </left>
      <right style="thin">
        <color theme="0" tint="-0.14996795556505021"/>
      </right>
      <top style="thin">
        <color theme="0" tint="-0.14996795556505021"/>
      </top>
      <bottom style="medium">
        <color auto="1"/>
      </bottom>
      <diagonal/>
    </border>
    <border>
      <left style="thin">
        <color theme="0" tint="-0.14996795556505021"/>
      </left>
      <right style="thin">
        <color theme="0" tint="-0.14996795556505021"/>
      </right>
      <top style="thin">
        <color theme="0" tint="-0.14996795556505021"/>
      </top>
      <bottom style="medium">
        <color auto="1"/>
      </bottom>
      <diagonal/>
    </border>
    <border>
      <left style="thin">
        <color theme="0" tint="-0.14996795556505021"/>
      </left>
      <right style="medium">
        <color auto="1"/>
      </right>
      <top style="thin">
        <color theme="0" tint="-0.14996795556505021"/>
      </top>
      <bottom style="medium">
        <color auto="1"/>
      </bottom>
      <diagonal/>
    </border>
    <border>
      <left style="thin">
        <color theme="0" tint="-0.14996795556505021"/>
      </left>
      <right style="thin">
        <color theme="0" tint="-0.14996795556505021"/>
      </right>
      <top/>
      <bottom style="medium">
        <color auto="1"/>
      </bottom>
      <diagonal/>
    </border>
  </borders>
  <cellStyleXfs count="42">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cellStyleXfs>
  <cellXfs count="423">
    <xf numFmtId="0" fontId="0" fillId="0" borderId="0" xfId="0"/>
    <xf numFmtId="2" fontId="0" fillId="0" borderId="0" xfId="0" applyNumberFormat="1" applyProtection="1"/>
    <xf numFmtId="2" fontId="0" fillId="0" borderId="0" xfId="0" applyNumberFormat="1" applyAlignment="1" applyProtection="1">
      <alignment horizontal="left"/>
    </xf>
    <xf numFmtId="2" fontId="0" fillId="0" borderId="0" xfId="0" applyNumberFormat="1"/>
    <xf numFmtId="0" fontId="0" fillId="0" borderId="7" xfId="0" applyBorder="1"/>
    <xf numFmtId="0" fontId="2" fillId="0" borderId="7" xfId="0" applyFont="1" applyBorder="1"/>
    <xf numFmtId="0" fontId="1" fillId="0" borderId="7" xfId="0" applyFont="1" applyBorder="1"/>
    <xf numFmtId="0" fontId="0" fillId="0" borderId="7" xfId="0" applyBorder="1" applyAlignment="1">
      <alignment wrapText="1"/>
    </xf>
    <xf numFmtId="2" fontId="0" fillId="0" borderId="7" xfId="0" applyNumberFormat="1" applyBorder="1"/>
    <xf numFmtId="0" fontId="3" fillId="0" borderId="7" xfId="0" applyFont="1" applyBorder="1"/>
    <xf numFmtId="0" fontId="2" fillId="0" borderId="7" xfId="0" applyFont="1" applyBorder="1" applyAlignment="1">
      <alignment wrapText="1"/>
    </xf>
    <xf numFmtId="2" fontId="0" fillId="0" borderId="7" xfId="0" applyNumberFormat="1" applyBorder="1" applyAlignment="1">
      <alignment horizontal="center"/>
    </xf>
    <xf numFmtId="14" fontId="0" fillId="0" borderId="7" xfId="0" applyNumberFormat="1" applyBorder="1"/>
    <xf numFmtId="0" fontId="24" fillId="0" borderId="7" xfId="0" applyFont="1" applyBorder="1"/>
    <xf numFmtId="0" fontId="0" fillId="0" borderId="17" xfId="0" applyBorder="1"/>
    <xf numFmtId="0" fontId="0" fillId="0" borderId="13" xfId="0" applyBorder="1"/>
    <xf numFmtId="0" fontId="1" fillId="0" borderId="7" xfId="0" applyFont="1" applyBorder="1" applyAlignment="1">
      <alignment wrapText="1"/>
    </xf>
    <xf numFmtId="2" fontId="0" fillId="0" borderId="7" xfId="0" applyNumberFormat="1" applyBorder="1"/>
    <xf numFmtId="2" fontId="24" fillId="0" borderId="7" xfId="0" applyNumberFormat="1" applyFont="1" applyBorder="1"/>
    <xf numFmtId="2" fontId="0" fillId="0" borderId="7" xfId="0" applyNumberFormat="1" applyBorder="1" applyAlignment="1" applyProtection="1">
      <alignment horizontal="left"/>
    </xf>
    <xf numFmtId="0" fontId="0" fillId="0" borderId="0" xfId="0" applyBorder="1"/>
    <xf numFmtId="168" fontId="0" fillId="0" borderId="0" xfId="0" applyNumberFormat="1"/>
    <xf numFmtId="2" fontId="0" fillId="0" borderId="7" xfId="0" applyNumberFormat="1" applyBorder="1" applyAlignment="1" applyProtection="1">
      <alignment horizontal="left" indent="3"/>
    </xf>
    <xf numFmtId="0" fontId="0" fillId="0" borderId="7" xfId="0" applyNumberFormat="1" applyBorder="1" applyAlignment="1" applyProtection="1">
      <alignment horizontal="left" indent="3"/>
    </xf>
    <xf numFmtId="4" fontId="0" fillId="0" borderId="7" xfId="0" applyNumberFormat="1" applyBorder="1"/>
    <xf numFmtId="4" fontId="0" fillId="0" borderId="7" xfId="0" applyNumberFormat="1" applyBorder="1" applyAlignment="1" applyProtection="1">
      <alignment horizontal="left"/>
    </xf>
    <xf numFmtId="4" fontId="0" fillId="0" borderId="7" xfId="0" applyNumberFormat="1" applyBorder="1" applyAlignment="1">
      <alignment horizontal="right"/>
    </xf>
    <xf numFmtId="4" fontId="0" fillId="0" borderId="7" xfId="0" applyNumberFormat="1" applyBorder="1" applyAlignment="1" applyProtection="1">
      <alignment horizontal="right"/>
    </xf>
    <xf numFmtId="4" fontId="0" fillId="0" borderId="0" xfId="0" applyNumberFormat="1"/>
    <xf numFmtId="4" fontId="0" fillId="0" borderId="0" xfId="0" applyNumberFormat="1" applyBorder="1"/>
    <xf numFmtId="0" fontId="0" fillId="0" borderId="7" xfId="0" applyBorder="1" applyAlignment="1">
      <alignment horizontal="left" indent="3"/>
    </xf>
    <xf numFmtId="0" fontId="0" fillId="0" borderId="23" xfId="0" applyBorder="1"/>
    <xf numFmtId="0" fontId="0" fillId="0" borderId="24" xfId="0" applyBorder="1"/>
    <xf numFmtId="0" fontId="24" fillId="0" borderId="7" xfId="0" applyFont="1" applyBorder="1" applyAlignment="1">
      <alignment horizontal="left"/>
    </xf>
    <xf numFmtId="165" fontId="24" fillId="0" borderId="17" xfId="0" applyNumberFormat="1" applyFont="1" applyBorder="1" applyAlignment="1">
      <alignment horizontal="left" wrapText="1"/>
    </xf>
    <xf numFmtId="4" fontId="0" fillId="0" borderId="7" xfId="0" applyNumberFormat="1" applyBorder="1"/>
    <xf numFmtId="4" fontId="0" fillId="0" borderId="10" xfId="0" applyNumberFormat="1" applyBorder="1"/>
    <xf numFmtId="4" fontId="0" fillId="0" borderId="11" xfId="0" applyNumberFormat="1" applyBorder="1"/>
    <xf numFmtId="4" fontId="0" fillId="0" borderId="12" xfId="0" applyNumberFormat="1" applyBorder="1"/>
    <xf numFmtId="4" fontId="24" fillId="0" borderId="7" xfId="0" applyNumberFormat="1" applyFont="1" applyBorder="1"/>
    <xf numFmtId="4" fontId="24" fillId="0" borderId="7" xfId="0" applyNumberFormat="1" applyFont="1" applyBorder="1" applyAlignment="1">
      <alignment horizontal="right"/>
    </xf>
    <xf numFmtId="4" fontId="24" fillId="0" borderId="11" xfId="0" applyNumberFormat="1" applyFont="1" applyBorder="1" applyAlignment="1">
      <alignment horizontal="right"/>
    </xf>
    <xf numFmtId="4" fontId="24" fillId="0" borderId="12" xfId="0" applyNumberFormat="1" applyFont="1" applyBorder="1" applyAlignment="1">
      <alignment horizontal="right"/>
    </xf>
    <xf numFmtId="4" fontId="1" fillId="0" borderId="7" xfId="0" applyNumberFormat="1" applyFont="1" applyBorder="1"/>
    <xf numFmtId="4" fontId="0" fillId="0" borderId="7" xfId="0" applyNumberFormat="1" applyBorder="1" applyAlignment="1">
      <alignment horizontal="right"/>
    </xf>
    <xf numFmtId="4" fontId="0" fillId="0" borderId="0" xfId="0" applyNumberFormat="1" applyBorder="1"/>
    <xf numFmtId="0" fontId="3" fillId="0" borderId="26" xfId="0" applyFont="1" applyBorder="1"/>
    <xf numFmtId="0" fontId="0" fillId="0" borderId="27" xfId="0" applyBorder="1" applyAlignment="1">
      <alignment wrapText="1"/>
    </xf>
    <xf numFmtId="0" fontId="0" fillId="0" borderId="27" xfId="0" applyBorder="1"/>
    <xf numFmtId="4" fontId="0" fillId="0" borderId="27" xfId="0" applyNumberFormat="1" applyBorder="1"/>
    <xf numFmtId="4" fontId="0" fillId="0" borderId="28" xfId="0" applyNumberFormat="1" applyBorder="1"/>
    <xf numFmtId="4" fontId="0" fillId="0" borderId="29" xfId="0" applyNumberFormat="1" applyBorder="1"/>
    <xf numFmtId="4" fontId="0" fillId="0" borderId="30" xfId="0" applyNumberFormat="1" applyBorder="1"/>
    <xf numFmtId="0" fontId="3" fillId="0" borderId="25" xfId="0" applyFont="1" applyBorder="1"/>
    <xf numFmtId="0" fontId="0" fillId="0" borderId="25" xfId="0" applyBorder="1"/>
    <xf numFmtId="14" fontId="1" fillId="0" borderId="25" xfId="0" applyNumberFormat="1" applyFont="1" applyBorder="1"/>
    <xf numFmtId="0" fontId="1" fillId="0" borderId="0" xfId="0" applyFont="1" applyBorder="1"/>
    <xf numFmtId="0" fontId="0" fillId="0" borderId="7" xfId="0" applyFill="1" applyBorder="1"/>
    <xf numFmtId="4" fontId="0" fillId="0" borderId="7" xfId="0" applyNumberFormat="1" applyBorder="1"/>
    <xf numFmtId="4" fontId="2" fillId="0" borderId="7" xfId="0" applyNumberFormat="1" applyFont="1" applyBorder="1"/>
    <xf numFmtId="4" fontId="0" fillId="0" borderId="13" xfId="0" applyNumberFormat="1" applyBorder="1"/>
    <xf numFmtId="0" fontId="0" fillId="0" borderId="7" xfId="0" applyBorder="1" applyAlignment="1">
      <alignment wrapText="1"/>
    </xf>
    <xf numFmtId="4" fontId="0" fillId="0" borderId="33" xfId="0" applyNumberFormat="1" applyBorder="1"/>
    <xf numFmtId="4" fontId="0" fillId="0" borderId="36" xfId="0" applyNumberFormat="1" applyBorder="1" applyAlignment="1">
      <alignment horizontal="center"/>
    </xf>
    <xf numFmtId="4" fontId="0" fillId="0" borderId="36" xfId="0" applyNumberFormat="1" applyBorder="1"/>
    <xf numFmtId="164" fontId="2" fillId="0" borderId="31" xfId="0" applyNumberFormat="1" applyFont="1" applyBorder="1" applyAlignment="1">
      <alignment horizontal="left"/>
    </xf>
    <xf numFmtId="165" fontId="2" fillId="0" borderId="13" xfId="0" applyNumberFormat="1" applyFont="1" applyBorder="1" applyAlignment="1">
      <alignment horizontal="left" wrapText="1"/>
    </xf>
    <xf numFmtId="164" fontId="2" fillId="0" borderId="13" xfId="0" applyNumberFormat="1" applyFont="1" applyBorder="1" applyAlignment="1">
      <alignment horizontal="center"/>
    </xf>
    <xf numFmtId="4" fontId="0" fillId="0" borderId="13" xfId="0" applyNumberFormat="1" applyBorder="1" applyAlignment="1">
      <alignment horizontal="left"/>
    </xf>
    <xf numFmtId="4" fontId="2" fillId="0" borderId="13" xfId="0" applyNumberFormat="1" applyFont="1" applyBorder="1" applyAlignment="1">
      <alignment horizontal="left"/>
    </xf>
    <xf numFmtId="4" fontId="0" fillId="0" borderId="14" xfId="0" applyNumberFormat="1" applyBorder="1" applyAlignment="1">
      <alignment horizontal="left"/>
    </xf>
    <xf numFmtId="4" fontId="0" fillId="0" borderId="15" xfId="0" applyNumberFormat="1" applyBorder="1" applyAlignment="1">
      <alignment horizontal="left"/>
    </xf>
    <xf numFmtId="4" fontId="0" fillId="0" borderId="16" xfId="0" applyNumberFormat="1" applyBorder="1" applyAlignment="1">
      <alignment horizontal="left"/>
    </xf>
    <xf numFmtId="4" fontId="0" fillId="0" borderId="37" xfId="0" applyNumberFormat="1" applyBorder="1" applyAlignment="1">
      <alignment horizontal="left"/>
    </xf>
    <xf numFmtId="2" fontId="0" fillId="0" borderId="7" xfId="0" applyNumberFormat="1" applyBorder="1" applyAlignment="1">
      <alignment horizontal="left"/>
    </xf>
    <xf numFmtId="0" fontId="0" fillId="0" borderId="7" xfId="0" applyBorder="1" applyAlignment="1">
      <alignment horizontal="left"/>
    </xf>
    <xf numFmtId="4" fontId="0" fillId="0" borderId="17" xfId="0" applyNumberFormat="1" applyBorder="1" applyAlignment="1">
      <alignment horizontal="left"/>
    </xf>
    <xf numFmtId="4" fontId="0" fillId="0" borderId="19" xfId="0" applyNumberFormat="1" applyBorder="1" applyAlignment="1">
      <alignment horizontal="left"/>
    </xf>
    <xf numFmtId="4" fontId="0" fillId="0" borderId="20" xfId="0" applyNumberFormat="1" applyBorder="1" applyAlignment="1">
      <alignment horizontal="left"/>
    </xf>
    <xf numFmtId="4" fontId="0" fillId="0" borderId="38" xfId="0" applyNumberFormat="1" applyBorder="1" applyAlignment="1">
      <alignment horizontal="left"/>
    </xf>
    <xf numFmtId="4" fontId="24" fillId="0" borderId="36" xfId="0" applyNumberFormat="1" applyFont="1" applyBorder="1"/>
    <xf numFmtId="14" fontId="2" fillId="0" borderId="25" xfId="0" applyNumberFormat="1" applyFont="1" applyBorder="1" applyAlignment="1">
      <alignment horizontal="right"/>
    </xf>
    <xf numFmtId="4" fontId="0" fillId="0" borderId="11" xfId="0" applyNumberFormat="1" applyBorder="1" applyAlignment="1">
      <alignment horizontal="right"/>
    </xf>
    <xf numFmtId="4" fontId="0" fillId="0" borderId="12" xfId="0" applyNumberFormat="1" applyBorder="1" applyAlignment="1">
      <alignment horizontal="right"/>
    </xf>
    <xf numFmtId="165" fontId="2" fillId="0" borderId="7" xfId="0" applyNumberFormat="1" applyFont="1" applyBorder="1" applyAlignment="1">
      <alignment horizontal="left" wrapText="1"/>
    </xf>
    <xf numFmtId="0" fontId="0" fillId="0" borderId="23" xfId="0" applyBorder="1" applyAlignment="1">
      <alignment wrapText="1"/>
    </xf>
    <xf numFmtId="4" fontId="0" fillId="0" borderId="23" xfId="0" applyNumberFormat="1" applyBorder="1"/>
    <xf numFmtId="4" fontId="0" fillId="0" borderId="13" xfId="0" quotePrefix="1" applyNumberFormat="1" applyBorder="1" applyAlignment="1">
      <alignment horizontal="left"/>
    </xf>
    <xf numFmtId="4" fontId="1" fillId="0" borderId="36" xfId="0" applyNumberFormat="1" applyFont="1" applyBorder="1"/>
    <xf numFmtId="4" fontId="1" fillId="0" borderId="12" xfId="0" applyNumberFormat="1" applyFont="1" applyBorder="1"/>
    <xf numFmtId="165" fontId="1" fillId="0" borderId="7" xfId="0" applyNumberFormat="1" applyFont="1" applyBorder="1" applyAlignment="1">
      <alignment horizontal="left" wrapText="1"/>
    </xf>
    <xf numFmtId="4" fontId="0" fillId="0" borderId="17" xfId="0" applyNumberFormat="1" applyBorder="1" applyAlignment="1">
      <alignment horizontal="left"/>
    </xf>
    <xf numFmtId="4" fontId="0" fillId="0" borderId="17" xfId="0" applyNumberFormat="1" applyBorder="1"/>
    <xf numFmtId="4" fontId="0" fillId="0" borderId="18" xfId="0" applyNumberFormat="1" applyBorder="1" applyAlignment="1">
      <alignment horizontal="left"/>
    </xf>
    <xf numFmtId="4" fontId="24" fillId="0" borderId="7" xfId="0" applyNumberFormat="1" applyFont="1" applyBorder="1" applyAlignment="1">
      <alignment horizontal="right"/>
    </xf>
    <xf numFmtId="4" fontId="24" fillId="0" borderId="10" xfId="0" applyNumberFormat="1" applyFont="1" applyBorder="1" applyAlignment="1">
      <alignment horizontal="right"/>
    </xf>
    <xf numFmtId="4" fontId="0" fillId="0" borderId="7" xfId="0" applyNumberFormat="1" applyBorder="1" applyAlignment="1">
      <alignment horizontal="right"/>
    </xf>
    <xf numFmtId="4" fontId="0" fillId="0" borderId="10" xfId="0" applyNumberFormat="1" applyBorder="1" applyAlignment="1">
      <alignment horizontal="right"/>
    </xf>
    <xf numFmtId="4" fontId="0" fillId="0" borderId="7" xfId="0" applyNumberFormat="1" applyBorder="1"/>
    <xf numFmtId="0" fontId="0" fillId="0" borderId="0" xfId="0"/>
    <xf numFmtId="4" fontId="0" fillId="0" borderId="0" xfId="0" applyNumberFormat="1"/>
    <xf numFmtId="4" fontId="1" fillId="0" borderId="10" xfId="0" applyNumberFormat="1" applyFont="1" applyBorder="1"/>
    <xf numFmtId="4" fontId="1" fillId="0" borderId="11" xfId="0" applyNumberFormat="1" applyFont="1" applyBorder="1"/>
    <xf numFmtId="0" fontId="1" fillId="0" borderId="17" xfId="0" applyFont="1" applyBorder="1"/>
    <xf numFmtId="0" fontId="27" fillId="0" borderId="7" xfId="0" applyFont="1" applyBorder="1"/>
    <xf numFmtId="14" fontId="2" fillId="0" borderId="25" xfId="0" applyNumberFormat="1" applyFont="1" applyBorder="1"/>
    <xf numFmtId="0" fontId="5" fillId="0" borderId="7" xfId="0" applyFont="1" applyBorder="1" applyAlignment="1">
      <alignment wrapText="1"/>
    </xf>
    <xf numFmtId="0" fontId="5" fillId="0" borderId="7" xfId="0" applyFont="1" applyBorder="1"/>
    <xf numFmtId="4" fontId="5" fillId="0" borderId="7" xfId="0" applyNumberFormat="1" applyFont="1" applyBorder="1"/>
    <xf numFmtId="4" fontId="5" fillId="0" borderId="10" xfId="0" applyNumberFormat="1" applyFont="1" applyBorder="1"/>
    <xf numFmtId="4" fontId="5" fillId="0" borderId="11" xfId="0" applyNumberFormat="1" applyFont="1" applyBorder="1"/>
    <xf numFmtId="4" fontId="5" fillId="0" borderId="12" xfId="0" applyNumberFormat="1" applyFont="1" applyBorder="1"/>
    <xf numFmtId="2" fontId="5" fillId="0" borderId="7" xfId="0" applyNumberFormat="1" applyFont="1" applyBorder="1"/>
    <xf numFmtId="0" fontId="5" fillId="0" borderId="25" xfId="0" applyFont="1" applyBorder="1"/>
    <xf numFmtId="4" fontId="5" fillId="0" borderId="7" xfId="0" applyNumberFormat="1" applyFont="1" applyBorder="1" applyAlignment="1">
      <alignment horizontal="right"/>
    </xf>
    <xf numFmtId="4" fontId="5" fillId="0" borderId="10" xfId="0" applyNumberFormat="1" applyFont="1" applyBorder="1" applyAlignment="1">
      <alignment horizontal="right"/>
    </xf>
    <xf numFmtId="4" fontId="5" fillId="0" borderId="11" xfId="0" applyNumberFormat="1" applyFont="1" applyBorder="1" applyAlignment="1">
      <alignment horizontal="right"/>
    </xf>
    <xf numFmtId="4" fontId="5" fillId="0" borderId="12" xfId="0" applyNumberFormat="1" applyFont="1" applyBorder="1" applyAlignment="1">
      <alignment horizontal="right"/>
    </xf>
    <xf numFmtId="0" fontId="0" fillId="0" borderId="7" xfId="0" applyBorder="1" applyAlignment="1">
      <alignment horizontal="left" indent="1"/>
    </xf>
    <xf numFmtId="0" fontId="0" fillId="0" borderId="0" xfId="0" applyBorder="1" applyAlignment="1">
      <alignment horizontal="left" indent="1"/>
    </xf>
    <xf numFmtId="4" fontId="1" fillId="0" borderId="7" xfId="0" applyNumberFormat="1" applyFont="1" applyBorder="1" applyAlignment="1">
      <alignment horizontal="left" indent="1"/>
    </xf>
    <xf numFmtId="0" fontId="0" fillId="0" borderId="7" xfId="0" quotePrefix="1" applyBorder="1" applyAlignment="1">
      <alignment horizontal="left" indent="1"/>
    </xf>
    <xf numFmtId="0" fontId="0" fillId="0" borderId="0" xfId="0" applyAlignment="1">
      <alignment horizontal="left" indent="1"/>
    </xf>
    <xf numFmtId="0" fontId="0" fillId="0" borderId="32" xfId="0" applyBorder="1" applyAlignment="1">
      <alignment vertical="center"/>
    </xf>
    <xf numFmtId="165" fontId="0" fillId="0" borderId="21" xfId="0" applyNumberFormat="1" applyBorder="1" applyAlignment="1">
      <alignment horizontal="left" vertical="center" wrapText="1"/>
    </xf>
    <xf numFmtId="0" fontId="0" fillId="0" borderId="21" xfId="0" applyBorder="1" applyAlignment="1">
      <alignment vertical="center"/>
    </xf>
    <xf numFmtId="4" fontId="0" fillId="0" borderId="21" xfId="0" applyNumberFormat="1" applyBorder="1" applyAlignment="1">
      <alignment vertical="center"/>
    </xf>
    <xf numFmtId="4" fontId="0" fillId="0" borderId="39" xfId="0" applyNumberFormat="1" applyBorder="1" applyAlignment="1">
      <alignment vertical="center"/>
    </xf>
    <xf numFmtId="2" fontId="0" fillId="0" borderId="7" xfId="0" applyNumberFormat="1" applyBorder="1" applyAlignment="1">
      <alignment vertical="center"/>
    </xf>
    <xf numFmtId="0" fontId="0" fillId="0" borderId="7" xfId="0" applyBorder="1" applyAlignment="1">
      <alignment vertical="center"/>
    </xf>
    <xf numFmtId="2" fontId="27" fillId="0" borderId="7" xfId="0" applyNumberFormat="1" applyFont="1" applyBorder="1"/>
    <xf numFmtId="2" fontId="27" fillId="0" borderId="7" xfId="0" applyNumberFormat="1" applyFont="1" applyBorder="1" applyAlignment="1">
      <alignment horizontal="center"/>
    </xf>
    <xf numFmtId="0" fontId="28" fillId="0" borderId="7" xfId="0" applyFont="1" applyBorder="1"/>
    <xf numFmtId="2" fontId="27" fillId="0" borderId="7" xfId="0" applyNumberFormat="1" applyFont="1" applyBorder="1" applyAlignment="1">
      <alignment vertical="center"/>
    </xf>
    <xf numFmtId="4" fontId="0" fillId="0" borderId="7" xfId="0" applyNumberFormat="1" applyBorder="1"/>
    <xf numFmtId="0" fontId="0" fillId="0" borderId="0" xfId="0" applyBorder="1"/>
    <xf numFmtId="0" fontId="0" fillId="0" borderId="40" xfId="0" applyBorder="1"/>
    <xf numFmtId="4" fontId="0" fillId="0" borderId="40" xfId="0" applyNumberFormat="1" applyBorder="1"/>
    <xf numFmtId="0" fontId="0" fillId="0" borderId="40" xfId="0" applyBorder="1" applyAlignment="1">
      <alignment horizontal="left" indent="1"/>
    </xf>
    <xf numFmtId="0" fontId="0" fillId="0" borderId="0" xfId="0"/>
    <xf numFmtId="0" fontId="0" fillId="0" borderId="0" xfId="0" applyBorder="1" applyAlignment="1">
      <alignment wrapText="1"/>
    </xf>
    <xf numFmtId="166" fontId="0" fillId="0" borderId="0" xfId="0" applyNumberFormat="1" applyBorder="1"/>
    <xf numFmtId="0" fontId="0" fillId="0" borderId="0" xfId="0" applyBorder="1"/>
    <xf numFmtId="2" fontId="27" fillId="0" borderId="40" xfId="0" applyNumberFormat="1" applyFont="1" applyBorder="1"/>
    <xf numFmtId="2" fontId="0" fillId="0" borderId="40" xfId="0" applyNumberFormat="1" applyBorder="1"/>
    <xf numFmtId="0" fontId="24" fillId="0" borderId="40" xfId="0" applyFont="1" applyBorder="1"/>
    <xf numFmtId="0" fontId="24" fillId="0" borderId="0" xfId="0" applyFont="1" applyBorder="1"/>
    <xf numFmtId="2" fontId="27" fillId="0" borderId="0" xfId="0" applyNumberFormat="1" applyFont="1" applyBorder="1"/>
    <xf numFmtId="2" fontId="0" fillId="0" borderId="0" xfId="0" applyNumberFormat="1" applyBorder="1"/>
    <xf numFmtId="4" fontId="24" fillId="0" borderId="12" xfId="0" applyNumberFormat="1" applyFont="1" applyBorder="1" applyAlignment="1">
      <alignment horizontal="center"/>
    </xf>
    <xf numFmtId="4" fontId="5" fillId="0" borderId="12" xfId="0" applyNumberFormat="1" applyFont="1" applyBorder="1" applyAlignment="1">
      <alignment horizontal="center"/>
    </xf>
    <xf numFmtId="4" fontId="0" fillId="0" borderId="12" xfId="0" applyNumberFormat="1" applyBorder="1" applyAlignment="1">
      <alignment horizontal="center" vertical="center"/>
    </xf>
    <xf numFmtId="4" fontId="0" fillId="0" borderId="40" xfId="0" applyNumberFormat="1" applyBorder="1" applyAlignment="1">
      <alignment horizontal="center"/>
    </xf>
    <xf numFmtId="4" fontId="0" fillId="0" borderId="0" xfId="0" applyNumberFormat="1" applyBorder="1" applyAlignment="1">
      <alignment horizontal="center"/>
    </xf>
    <xf numFmtId="4" fontId="26" fillId="0" borderId="25" xfId="0" applyNumberFormat="1" applyFont="1" applyBorder="1" applyAlignment="1">
      <alignment horizontal="center"/>
    </xf>
    <xf numFmtId="4" fontId="0" fillId="0" borderId="0" xfId="0" applyNumberFormat="1"/>
    <xf numFmtId="4" fontId="0" fillId="0" borderId="7" xfId="0" applyNumberFormat="1" applyBorder="1"/>
    <xf numFmtId="4" fontId="2" fillId="0" borderId="7" xfId="0" applyNumberFormat="1" applyFont="1" applyBorder="1" applyAlignment="1">
      <alignment wrapText="1"/>
    </xf>
    <xf numFmtId="0" fontId="0" fillId="0" borderId="7" xfId="0" applyBorder="1" applyAlignment="1">
      <alignment horizontal="left" indent="2"/>
    </xf>
    <xf numFmtId="0" fontId="25" fillId="0" borderId="26" xfId="0" applyFont="1" applyBorder="1"/>
    <xf numFmtId="4" fontId="0" fillId="0" borderId="27" xfId="0" applyNumberFormat="1" applyBorder="1"/>
    <xf numFmtId="4" fontId="0" fillId="0" borderId="33" xfId="0" applyNumberFormat="1" applyBorder="1"/>
    <xf numFmtId="4" fontId="0" fillId="0" borderId="36" xfId="0" applyNumberFormat="1" applyBorder="1"/>
    <xf numFmtId="0" fontId="2" fillId="0" borderId="25" xfId="0" applyFont="1" applyBorder="1"/>
    <xf numFmtId="4" fontId="2" fillId="0" borderId="36" xfId="0" applyNumberFormat="1" applyFont="1" applyBorder="1"/>
    <xf numFmtId="0" fontId="0" fillId="0" borderId="41" xfId="0" applyBorder="1"/>
    <xf numFmtId="0" fontId="0" fillId="0" borderId="42" xfId="0" applyBorder="1"/>
    <xf numFmtId="4" fontId="0" fillId="0" borderId="42" xfId="0" applyNumberFormat="1" applyBorder="1"/>
    <xf numFmtId="4" fontId="0" fillId="0" borderId="43" xfId="0" applyNumberFormat="1" applyBorder="1"/>
    <xf numFmtId="3" fontId="2" fillId="0" borderId="7" xfId="0" quotePrefix="1" applyNumberFormat="1" applyFont="1" applyBorder="1" applyAlignment="1">
      <alignment horizontal="center" wrapText="1"/>
    </xf>
    <xf numFmtId="3" fontId="2" fillId="0" borderId="7" xfId="0" applyNumberFormat="1" applyFont="1" applyBorder="1" applyAlignment="1">
      <alignment horizontal="center"/>
    </xf>
    <xf numFmtId="3" fontId="0" fillId="0" borderId="0" xfId="0" applyNumberFormat="1" applyBorder="1"/>
    <xf numFmtId="3" fontId="0" fillId="0" borderId="0" xfId="0" applyNumberFormat="1"/>
    <xf numFmtId="4" fontId="0" fillId="0" borderId="17" xfId="0" applyNumberFormat="1" applyBorder="1"/>
    <xf numFmtId="4" fontId="0" fillId="0" borderId="36" xfId="0" applyNumberFormat="1" applyBorder="1"/>
    <xf numFmtId="4" fontId="0" fillId="0" borderId="7" xfId="0" applyNumberFormat="1" applyBorder="1"/>
    <xf numFmtId="4" fontId="1" fillId="0" borderId="7" xfId="0" applyNumberFormat="1" applyFont="1" applyBorder="1" applyAlignment="1">
      <alignment horizontal="right"/>
    </xf>
    <xf numFmtId="4" fontId="1" fillId="0" borderId="10" xfId="0" applyNumberFormat="1" applyFont="1" applyBorder="1" applyAlignment="1">
      <alignment horizontal="right"/>
    </xf>
    <xf numFmtId="4" fontId="1" fillId="0" borderId="11" xfId="0" applyNumberFormat="1" applyFont="1" applyBorder="1" applyAlignment="1">
      <alignment horizontal="right"/>
    </xf>
    <xf numFmtId="4" fontId="1" fillId="0" borderId="12" xfId="0" applyNumberFormat="1" applyFont="1" applyBorder="1" applyAlignment="1">
      <alignment horizontal="right"/>
    </xf>
    <xf numFmtId="4" fontId="1" fillId="0" borderId="12" xfId="0" applyNumberFormat="1" applyFont="1" applyBorder="1" applyAlignment="1">
      <alignment horizontal="center"/>
    </xf>
    <xf numFmtId="2" fontId="1" fillId="0" borderId="7" xfId="0" applyNumberFormat="1" applyFont="1" applyBorder="1"/>
    <xf numFmtId="2" fontId="1" fillId="0" borderId="7" xfId="0" applyNumberFormat="1" applyFont="1" applyBorder="1" applyAlignment="1">
      <alignment horizontal="left"/>
    </xf>
    <xf numFmtId="4" fontId="2" fillId="0" borderId="17" xfId="0" applyNumberFormat="1" applyFont="1" applyBorder="1"/>
    <xf numFmtId="0" fontId="1" fillId="0" borderId="7" xfId="0" applyFont="1" applyBorder="1" applyAlignment="1">
      <alignment horizontal="left"/>
    </xf>
    <xf numFmtId="4" fontId="0" fillId="0" borderId="7" xfId="0" applyNumberFormat="1" applyBorder="1"/>
    <xf numFmtId="4" fontId="2" fillId="0" borderId="7" xfId="0" applyNumberFormat="1" applyFont="1" applyBorder="1"/>
    <xf numFmtId="4" fontId="0" fillId="0" borderId="0" xfId="0" applyNumberFormat="1"/>
    <xf numFmtId="0" fontId="0" fillId="0" borderId="45" xfId="0" applyBorder="1"/>
    <xf numFmtId="0" fontId="0" fillId="0" borderId="44" xfId="0" applyBorder="1"/>
    <xf numFmtId="165" fontId="30" fillId="0" borderId="17" xfId="0" applyNumberFormat="1" applyFont="1" applyBorder="1" applyAlignment="1">
      <alignment horizontal="left" wrapText="1"/>
    </xf>
    <xf numFmtId="0" fontId="25" fillId="0" borderId="46" xfId="0" applyFont="1" applyBorder="1"/>
    <xf numFmtId="166" fontId="1" fillId="0" borderId="47" xfId="0" applyNumberFormat="1" applyFont="1" applyBorder="1"/>
    <xf numFmtId="3" fontId="1" fillId="0" borderId="47" xfId="0" applyNumberFormat="1" applyFont="1" applyBorder="1"/>
    <xf numFmtId="0" fontId="1" fillId="0" borderId="48" xfId="0" applyFont="1" applyBorder="1"/>
    <xf numFmtId="0" fontId="1" fillId="0" borderId="49" xfId="0" applyFont="1" applyBorder="1"/>
    <xf numFmtId="49" fontId="1" fillId="0" borderId="49" xfId="0" applyNumberFormat="1" applyFont="1" applyBorder="1" applyAlignment="1">
      <alignment wrapText="1"/>
    </xf>
    <xf numFmtId="0" fontId="1" fillId="0" borderId="50" xfId="0" applyFont="1" applyBorder="1"/>
    <xf numFmtId="166" fontId="1" fillId="0" borderId="51" xfId="0" applyNumberFormat="1" applyFont="1" applyBorder="1"/>
    <xf numFmtId="3" fontId="1" fillId="0" borderId="51" xfId="0" applyNumberFormat="1" applyFont="1" applyBorder="1"/>
    <xf numFmtId="0" fontId="1" fillId="0" borderId="52" xfId="0" applyFont="1" applyBorder="1"/>
    <xf numFmtId="0" fontId="1" fillId="0" borderId="51" xfId="0" applyFont="1" applyBorder="1"/>
    <xf numFmtId="49" fontId="1" fillId="0" borderId="51" xfId="0" applyNumberFormat="1" applyFont="1" applyBorder="1" applyAlignment="1">
      <alignment wrapText="1"/>
    </xf>
    <xf numFmtId="0" fontId="3" fillId="0" borderId="50" xfId="0" applyFont="1" applyBorder="1"/>
    <xf numFmtId="0" fontId="2" fillId="0" borderId="51" xfId="0" applyFont="1" applyBorder="1"/>
    <xf numFmtId="0" fontId="2" fillId="0" borderId="50" xfId="0" applyFont="1" applyBorder="1" applyAlignment="1">
      <alignment horizontal="center"/>
    </xf>
    <xf numFmtId="0" fontId="1" fillId="0" borderId="51" xfId="0" applyFont="1" applyBorder="1" applyAlignment="1">
      <alignment horizontal="center"/>
    </xf>
    <xf numFmtId="3" fontId="1" fillId="0" borderId="51" xfId="0" applyNumberFormat="1" applyFont="1" applyBorder="1" applyAlignment="1">
      <alignment horizontal="center"/>
    </xf>
    <xf numFmtId="0" fontId="1" fillId="0" borderId="50" xfId="0" applyFont="1" applyBorder="1" applyAlignment="1">
      <alignment wrapText="1"/>
    </xf>
    <xf numFmtId="166" fontId="1" fillId="0" borderId="51" xfId="0" applyNumberFormat="1" applyFont="1" applyBorder="1" applyAlignment="1">
      <alignment wrapText="1"/>
    </xf>
    <xf numFmtId="3" fontId="2" fillId="0" borderId="51" xfId="0" applyNumberFormat="1" applyFont="1" applyBorder="1" applyAlignment="1">
      <alignment wrapText="1"/>
    </xf>
    <xf numFmtId="0" fontId="2" fillId="0" borderId="52" xfId="0" applyFont="1" applyBorder="1" applyAlignment="1">
      <alignment wrapText="1"/>
    </xf>
    <xf numFmtId="0" fontId="1" fillId="0" borderId="51" xfId="0" applyFont="1" applyBorder="1" applyAlignment="1">
      <alignment wrapText="1"/>
    </xf>
    <xf numFmtId="3" fontId="2" fillId="0" borderId="51" xfId="0" applyNumberFormat="1" applyFont="1" applyBorder="1" applyAlignment="1">
      <alignment horizontal="center"/>
    </xf>
    <xf numFmtId="3" fontId="2" fillId="0" borderId="51" xfId="0" applyNumberFormat="1" applyFont="1" applyBorder="1"/>
    <xf numFmtId="0" fontId="2" fillId="0" borderId="52" xfId="0" applyFont="1" applyBorder="1"/>
    <xf numFmtId="3" fontId="1" fillId="0" borderId="0" xfId="0" applyNumberFormat="1" applyFont="1"/>
    <xf numFmtId="10" fontId="1" fillId="0" borderId="52" xfId="0" applyNumberFormat="1" applyFont="1" applyBorder="1"/>
    <xf numFmtId="3" fontId="1" fillId="0" borderId="49" xfId="0" applyNumberFormat="1" applyFont="1" applyBorder="1"/>
    <xf numFmtId="0" fontId="1" fillId="0" borderId="53" xfId="0" applyFont="1" applyBorder="1"/>
    <xf numFmtId="166" fontId="1" fillId="0" borderId="54" xfId="0" applyNumberFormat="1" applyFont="1" applyBorder="1"/>
    <xf numFmtId="3" fontId="1" fillId="0" borderId="54" xfId="0" applyNumberFormat="1" applyFont="1" applyBorder="1"/>
    <xf numFmtId="0" fontId="1" fillId="0" borderId="55" xfId="0" applyFont="1" applyBorder="1"/>
    <xf numFmtId="3" fontId="2" fillId="0" borderId="51" xfId="0" quotePrefix="1" applyNumberFormat="1" applyFont="1" applyBorder="1" applyAlignment="1">
      <alignment horizontal="center" wrapText="1"/>
    </xf>
    <xf numFmtId="0" fontId="1" fillId="0" borderId="7" xfId="0" applyFont="1" applyBorder="1" applyAlignment="1">
      <alignment horizontal="left" indent="1"/>
    </xf>
    <xf numFmtId="4" fontId="1" fillId="0" borderId="0" xfId="0" applyNumberFormat="1" applyFont="1" applyBorder="1"/>
    <xf numFmtId="0" fontId="1" fillId="0" borderId="7" xfId="0" applyFont="1" applyBorder="1" applyAlignment="1">
      <alignment horizontal="left" indent="2"/>
    </xf>
    <xf numFmtId="4" fontId="1" fillId="0" borderId="17" xfId="0" applyNumberFormat="1" applyFont="1" applyBorder="1" applyAlignment="1">
      <alignment horizontal="right"/>
    </xf>
    <xf numFmtId="0" fontId="1" fillId="0" borderId="7" xfId="0" applyFont="1" applyFill="1" applyBorder="1"/>
    <xf numFmtId="3" fontId="1" fillId="0" borderId="0" xfId="0" applyNumberFormat="1" applyFont="1" applyBorder="1"/>
    <xf numFmtId="166" fontId="2" fillId="0" borderId="0" xfId="0" applyNumberFormat="1" applyFont="1" applyBorder="1" applyAlignment="1">
      <alignment horizontal="center" wrapText="1"/>
    </xf>
    <xf numFmtId="166" fontId="2" fillId="0" borderId="0" xfId="0" quotePrefix="1" applyNumberFormat="1" applyFont="1" applyBorder="1" applyAlignment="1">
      <alignment horizontal="center" wrapText="1"/>
    </xf>
    <xf numFmtId="4" fontId="1" fillId="0" borderId="13" xfId="0" applyNumberFormat="1" applyFont="1" applyBorder="1" applyAlignment="1">
      <alignment horizontal="left"/>
    </xf>
    <xf numFmtId="0" fontId="31" fillId="0" borderId="56" xfId="0" applyFont="1" applyBorder="1"/>
    <xf numFmtId="0" fontId="31" fillId="0" borderId="23" xfId="0" quotePrefix="1" applyFont="1" applyBorder="1"/>
    <xf numFmtId="0" fontId="25" fillId="0" borderId="57" xfId="0" applyFont="1" applyBorder="1"/>
    <xf numFmtId="0" fontId="0" fillId="0" borderId="57" xfId="0" applyBorder="1"/>
    <xf numFmtId="4" fontId="34" fillId="0" borderId="57" xfId="0" applyNumberFormat="1" applyFont="1" applyBorder="1"/>
    <xf numFmtId="4" fontId="0" fillId="0" borderId="57" xfId="0" applyNumberFormat="1" applyBorder="1"/>
    <xf numFmtId="0" fontId="3" fillId="0" borderId="57" xfId="0" applyFont="1" applyBorder="1"/>
    <xf numFmtId="0" fontId="1" fillId="0" borderId="57" xfId="0" applyFont="1" applyBorder="1"/>
    <xf numFmtId="4" fontId="1" fillId="0" borderId="57" xfId="0" applyNumberFormat="1" applyFont="1" applyBorder="1"/>
    <xf numFmtId="14" fontId="0" fillId="0" borderId="57" xfId="0" applyNumberFormat="1" applyBorder="1"/>
    <xf numFmtId="2" fontId="0" fillId="0" borderId="57" xfId="0" applyNumberFormat="1" applyBorder="1"/>
    <xf numFmtId="4" fontId="2" fillId="0" borderId="57" xfId="0" applyNumberFormat="1" applyFont="1" applyBorder="1"/>
    <xf numFmtId="4" fontId="0" fillId="0" borderId="57" xfId="0" applyNumberFormat="1" applyBorder="1" applyAlignment="1">
      <alignment horizontal="center"/>
    </xf>
    <xf numFmtId="2" fontId="27" fillId="0" borderId="57" xfId="0" applyNumberFormat="1" applyFont="1" applyBorder="1"/>
    <xf numFmtId="0" fontId="0" fillId="0" borderId="57" xfId="0" applyBorder="1" applyAlignment="1">
      <alignment horizontal="center"/>
    </xf>
    <xf numFmtId="0" fontId="27" fillId="0" borderId="57" xfId="0" applyFont="1" applyBorder="1"/>
    <xf numFmtId="0" fontId="34" fillId="0" borderId="57" xfId="0" applyFont="1" applyBorder="1"/>
    <xf numFmtId="0" fontId="29" fillId="0" borderId="57" xfId="0" applyFont="1" applyBorder="1"/>
    <xf numFmtId="4" fontId="29" fillId="0" borderId="57" xfId="0" applyNumberFormat="1" applyFont="1" applyBorder="1" applyAlignment="1">
      <alignment horizontal="center"/>
    </xf>
    <xf numFmtId="4" fontId="29" fillId="0" borderId="57" xfId="0" applyNumberFormat="1" applyFont="1" applyBorder="1"/>
    <xf numFmtId="14" fontId="29" fillId="0" borderId="57" xfId="0" applyNumberFormat="1" applyFont="1" applyBorder="1"/>
    <xf numFmtId="0" fontId="29" fillId="0" borderId="57" xfId="0" applyFont="1" applyFill="1" applyBorder="1"/>
    <xf numFmtId="0" fontId="35" fillId="0" borderId="57" xfId="0" applyFont="1" applyBorder="1"/>
    <xf numFmtId="2" fontId="29" fillId="0" borderId="57" xfId="0" applyNumberFormat="1" applyFont="1" applyBorder="1"/>
    <xf numFmtId="4" fontId="3" fillId="0" borderId="57" xfId="0" applyNumberFormat="1" applyFont="1" applyBorder="1"/>
    <xf numFmtId="2" fontId="36" fillId="0" borderId="57" xfId="0" applyNumberFormat="1" applyFont="1" applyBorder="1"/>
    <xf numFmtId="0" fontId="29" fillId="0" borderId="57" xfId="0" quotePrefix="1" applyFont="1" applyBorder="1"/>
    <xf numFmtId="0" fontId="29" fillId="0" borderId="57" xfId="0" applyFont="1" applyBorder="1" applyAlignment="1">
      <alignment horizontal="center"/>
    </xf>
    <xf numFmtId="0" fontId="25" fillId="0" borderId="7" xfId="0" applyFont="1" applyBorder="1"/>
    <xf numFmtId="2" fontId="0" fillId="0" borderId="40" xfId="0" applyNumberFormat="1" applyBorder="1" applyAlignment="1" applyProtection="1">
      <alignment horizontal="left"/>
    </xf>
    <xf numFmtId="4" fontId="0" fillId="0" borderId="57" xfId="0" quotePrefix="1" applyNumberFormat="1" applyBorder="1"/>
    <xf numFmtId="3" fontId="2" fillId="0" borderId="0" xfId="0" quotePrefix="1" applyNumberFormat="1" applyFont="1" applyBorder="1" applyAlignment="1">
      <alignment horizontal="center" wrapText="1"/>
    </xf>
    <xf numFmtId="4" fontId="1" fillId="0" borderId="17" xfId="0" applyNumberFormat="1" applyFont="1" applyBorder="1"/>
    <xf numFmtId="0" fontId="24" fillId="0" borderId="17" xfId="0" applyFont="1" applyBorder="1"/>
    <xf numFmtId="4" fontId="0" fillId="0" borderId="24" xfId="0" applyNumberFormat="1" applyBorder="1"/>
    <xf numFmtId="0" fontId="31" fillId="0" borderId="7" xfId="0" quotePrefix="1" applyFont="1" applyBorder="1"/>
    <xf numFmtId="4" fontId="1" fillId="0" borderId="25" xfId="0" applyNumberFormat="1" applyFont="1" applyBorder="1" applyAlignment="1">
      <alignment horizontal="center"/>
    </xf>
    <xf numFmtId="4" fontId="37" fillId="0" borderId="12" xfId="0" applyNumberFormat="1" applyFont="1" applyBorder="1" applyAlignment="1">
      <alignment horizontal="center"/>
    </xf>
    <xf numFmtId="4" fontId="1" fillId="0" borderId="23" xfId="0" applyNumberFormat="1" applyFont="1" applyBorder="1"/>
    <xf numFmtId="4" fontId="2" fillId="0" borderId="17" xfId="0" applyNumberFormat="1" applyFont="1" applyBorder="1" applyAlignment="1">
      <alignment horizontal="left"/>
    </xf>
    <xf numFmtId="14" fontId="1" fillId="0" borderId="25" xfId="0" applyNumberFormat="1" applyFont="1" applyBorder="1" applyAlignment="1">
      <alignment wrapText="1"/>
    </xf>
    <xf numFmtId="0" fontId="31" fillId="0" borderId="0" xfId="0" quotePrefix="1" applyFont="1" applyBorder="1"/>
    <xf numFmtId="0" fontId="3" fillId="0" borderId="0" xfId="0" applyFont="1" applyAlignment="1">
      <alignment vertical="top"/>
    </xf>
    <xf numFmtId="3" fontId="2" fillId="0" borderId="0" xfId="0" applyNumberFormat="1" applyFont="1" applyAlignment="1" applyProtection="1">
      <alignment horizontal="center"/>
      <protection locked="0"/>
    </xf>
    <xf numFmtId="0" fontId="43" fillId="0" borderId="0" xfId="0" applyFont="1"/>
    <xf numFmtId="0" fontId="44" fillId="0" borderId="0" xfId="0" applyFont="1" applyAlignment="1">
      <alignment wrapText="1"/>
    </xf>
    <xf numFmtId="0" fontId="44" fillId="0" borderId="0" xfId="0" applyFont="1"/>
    <xf numFmtId="0" fontId="45" fillId="0" borderId="0" xfId="0" applyFont="1"/>
    <xf numFmtId="0" fontId="44" fillId="0" borderId="0" xfId="0" applyFont="1" applyAlignment="1">
      <alignment horizontal="left" vertical="center"/>
    </xf>
    <xf numFmtId="3" fontId="2" fillId="24" borderId="0" xfId="0" applyNumberFormat="1" applyFont="1" applyFill="1" applyAlignment="1" applyProtection="1">
      <alignment horizontal="center"/>
      <protection locked="0"/>
    </xf>
    <xf numFmtId="0" fontId="44" fillId="24" borderId="0" xfId="0" applyFont="1" applyFill="1"/>
    <xf numFmtId="0" fontId="37" fillId="0" borderId="0" xfId="0" applyFont="1"/>
    <xf numFmtId="0" fontId="50" fillId="0" borderId="0" xfId="0" applyFont="1" applyAlignment="1">
      <alignment horizontal="left" vertical="center" indent="2"/>
    </xf>
    <xf numFmtId="0" fontId="44" fillId="0" borderId="0" xfId="0" applyFont="1" applyAlignment="1">
      <alignment horizontal="center"/>
    </xf>
    <xf numFmtId="0" fontId="51" fillId="0" borderId="0" xfId="0" applyFont="1"/>
    <xf numFmtId="0" fontId="51" fillId="0" borderId="0" xfId="0" applyFont="1" applyAlignment="1">
      <alignment horizontal="center"/>
    </xf>
    <xf numFmtId="0" fontId="51" fillId="0" borderId="0" xfId="0" applyFont="1" applyAlignment="1">
      <alignment horizontal="center" wrapText="1"/>
    </xf>
    <xf numFmtId="0" fontId="44" fillId="25" borderId="64" xfId="0" applyFont="1" applyFill="1" applyBorder="1" applyAlignment="1">
      <alignment wrapText="1"/>
    </xf>
    <xf numFmtId="0" fontId="51" fillId="0" borderId="64" xfId="0" applyFont="1" applyBorder="1" applyAlignment="1">
      <alignment wrapText="1"/>
    </xf>
    <xf numFmtId="3" fontId="2" fillId="26" borderId="65" xfId="0" applyNumberFormat="1" applyFont="1" applyFill="1" applyBorder="1" applyAlignment="1" applyProtection="1">
      <alignment horizontal="center"/>
      <protection locked="0"/>
    </xf>
    <xf numFmtId="3" fontId="44" fillId="0" borderId="0" xfId="0" applyNumberFormat="1" applyFont="1"/>
    <xf numFmtId="0" fontId="44" fillId="0" borderId="64" xfId="0" applyFont="1" applyBorder="1" applyAlignment="1">
      <alignment wrapText="1"/>
    </xf>
    <xf numFmtId="10" fontId="44" fillId="0" borderId="0" xfId="0" applyNumberFormat="1" applyFont="1"/>
    <xf numFmtId="49" fontId="1" fillId="0" borderId="56" xfId="0" applyNumberFormat="1" applyFont="1" applyBorder="1" applyAlignment="1">
      <alignment wrapText="1"/>
    </xf>
    <xf numFmtId="0" fontId="44" fillId="0" borderId="0" xfId="0" applyFont="1" applyAlignment="1">
      <alignment vertical="center"/>
    </xf>
    <xf numFmtId="3" fontId="2" fillId="27" borderId="65" xfId="0" applyNumberFormat="1" applyFont="1" applyFill="1" applyBorder="1" applyAlignment="1" applyProtection="1">
      <alignment horizontal="center"/>
      <protection locked="0"/>
    </xf>
    <xf numFmtId="0" fontId="44" fillId="28" borderId="64" xfId="0" applyFont="1" applyFill="1" applyBorder="1" applyAlignment="1">
      <alignment wrapText="1"/>
    </xf>
    <xf numFmtId="0" fontId="44" fillId="0" borderId="0" xfId="0" applyFont="1" applyAlignment="1">
      <alignment horizontal="center" wrapText="1"/>
    </xf>
    <xf numFmtId="0" fontId="51" fillId="29" borderId="64" xfId="0" applyFont="1" applyFill="1" applyBorder="1" applyAlignment="1">
      <alignment horizontal="center" wrapText="1"/>
    </xf>
    <xf numFmtId="0" fontId="44" fillId="0" borderId="0" xfId="0" applyFont="1" applyAlignment="1">
      <alignment horizontal="left" vertical="top" wrapText="1"/>
    </xf>
    <xf numFmtId="0" fontId="32" fillId="0" borderId="57" xfId="0" applyFont="1" applyBorder="1"/>
    <xf numFmtId="0" fontId="39" fillId="0" borderId="57" xfId="0" applyFont="1" applyBorder="1"/>
    <xf numFmtId="0" fontId="38" fillId="0" borderId="57" xfId="0" applyFont="1" applyBorder="1"/>
    <xf numFmtId="0" fontId="33" fillId="0" borderId="57" xfId="0" applyFont="1" applyBorder="1"/>
    <xf numFmtId="0" fontId="32" fillId="0" borderId="57" xfId="0" quotePrefix="1" applyFont="1" applyBorder="1"/>
    <xf numFmtId="0" fontId="25" fillId="0" borderId="57" xfId="0" applyFont="1" applyBorder="1" applyAlignment="1">
      <alignment horizontal="center"/>
    </xf>
    <xf numFmtId="0" fontId="25" fillId="0" borderId="57" xfId="0" applyFont="1" applyBorder="1" applyAlignment="1">
      <alignment wrapText="1"/>
    </xf>
    <xf numFmtId="0" fontId="25" fillId="0" borderId="57" xfId="0" quotePrefix="1" applyFont="1" applyBorder="1" applyAlignment="1">
      <alignment wrapText="1"/>
    </xf>
    <xf numFmtId="0" fontId="32" fillId="0" borderId="57" xfId="0" applyFont="1" applyBorder="1" applyAlignment="1">
      <alignment wrapText="1"/>
    </xf>
    <xf numFmtId="0" fontId="32" fillId="0" borderId="57" xfId="0" quotePrefix="1" applyFont="1" applyBorder="1" applyAlignment="1">
      <alignment horizontal="center" wrapText="1"/>
    </xf>
    <xf numFmtId="14" fontId="32" fillId="0" borderId="57" xfId="0" applyNumberFormat="1" applyFont="1" applyBorder="1"/>
    <xf numFmtId="0" fontId="38" fillId="0" borderId="57" xfId="0" applyFont="1" applyBorder="1" applyAlignment="1">
      <alignment horizontal="center"/>
    </xf>
    <xf numFmtId="0" fontId="32" fillId="0" borderId="57" xfId="0" quotePrefix="1" applyFont="1" applyBorder="1" applyAlignment="1">
      <alignment horizontal="center"/>
    </xf>
    <xf numFmtId="0" fontId="40" fillId="0" borderId="57" xfId="0" applyFont="1" applyBorder="1"/>
    <xf numFmtId="0" fontId="25" fillId="0" borderId="67" xfId="0" applyFont="1" applyBorder="1" applyAlignment="1">
      <alignment wrapText="1"/>
    </xf>
    <xf numFmtId="0" fontId="32" fillId="0" borderId="67" xfId="0" applyFont="1" applyBorder="1" applyAlignment="1">
      <alignment wrapText="1"/>
    </xf>
    <xf numFmtId="0" fontId="32" fillId="0" borderId="67" xfId="0" applyFont="1" applyBorder="1"/>
    <xf numFmtId="0" fontId="25" fillId="0" borderId="67" xfId="0" applyFont="1" applyBorder="1"/>
    <xf numFmtId="0" fontId="25" fillId="0" borderId="68" xfId="0" applyFont="1" applyBorder="1" applyAlignment="1">
      <alignment wrapText="1"/>
    </xf>
    <xf numFmtId="0" fontId="32" fillId="0" borderId="68" xfId="0" applyFont="1" applyBorder="1" applyAlignment="1">
      <alignment wrapText="1"/>
    </xf>
    <xf numFmtId="0" fontId="32" fillId="0" borderId="68" xfId="0" applyFont="1" applyBorder="1"/>
    <xf numFmtId="0" fontId="32" fillId="0" borderId="69" xfId="0" applyFont="1" applyBorder="1"/>
    <xf numFmtId="0" fontId="32" fillId="0" borderId="70" xfId="0" applyFont="1" applyBorder="1"/>
    <xf numFmtId="0" fontId="41" fillId="0" borderId="71" xfId="0" applyFont="1" applyBorder="1" applyAlignment="1">
      <alignment wrapText="1"/>
    </xf>
    <xf numFmtId="0" fontId="42" fillId="0" borderId="72" xfId="0" applyFont="1" applyBorder="1" applyAlignment="1">
      <alignment wrapText="1"/>
    </xf>
    <xf numFmtId="0" fontId="41" fillId="0" borderId="72" xfId="0" applyFont="1" applyBorder="1" applyAlignment="1">
      <alignment wrapText="1"/>
    </xf>
    <xf numFmtId="2" fontId="41" fillId="0" borderId="73" xfId="0" applyNumberFormat="1" applyFont="1" applyBorder="1" applyAlignment="1">
      <alignment wrapText="1"/>
    </xf>
    <xf numFmtId="14" fontId="32" fillId="0" borderId="74" xfId="0" applyNumberFormat="1" applyFont="1" applyBorder="1" applyAlignment="1">
      <alignment wrapText="1"/>
    </xf>
    <xf numFmtId="2" fontId="32" fillId="0" borderId="75" xfId="0" applyNumberFormat="1" applyFont="1" applyBorder="1" applyAlignment="1">
      <alignment wrapText="1"/>
    </xf>
    <xf numFmtId="14" fontId="32" fillId="0" borderId="74" xfId="0" applyNumberFormat="1" applyFont="1" applyBorder="1"/>
    <xf numFmtId="2" fontId="32" fillId="0" borderId="75" xfId="0" applyNumberFormat="1" applyFont="1" applyBorder="1"/>
    <xf numFmtId="0" fontId="40" fillId="0" borderId="74" xfId="0" applyFont="1" applyBorder="1"/>
    <xf numFmtId="2" fontId="40" fillId="0" borderId="75" xfId="0" applyNumberFormat="1" applyFont="1" applyBorder="1"/>
    <xf numFmtId="14" fontId="40" fillId="0" borderId="76" xfId="0" applyNumberFormat="1" applyFont="1" applyBorder="1"/>
    <xf numFmtId="0" fontId="40" fillId="0" borderId="77" xfId="0" applyFont="1" applyBorder="1"/>
    <xf numFmtId="0" fontId="41" fillId="0" borderId="77" xfId="0" applyFont="1" applyBorder="1" applyAlignment="1">
      <alignment horizontal="right"/>
    </xf>
    <xf numFmtId="2" fontId="41" fillId="0" borderId="78" xfId="0" applyNumberFormat="1" applyFont="1" applyBorder="1"/>
    <xf numFmtId="0" fontId="0" fillId="0" borderId="62" xfId="0" applyBorder="1"/>
    <xf numFmtId="166" fontId="0" fillId="0" borderId="62" xfId="0" applyNumberFormat="1" applyBorder="1"/>
    <xf numFmtId="0" fontId="1" fillId="0" borderId="62" xfId="0" applyFont="1" applyBorder="1"/>
    <xf numFmtId="43" fontId="0" fillId="0" borderId="62" xfId="0" applyNumberFormat="1" applyBorder="1"/>
    <xf numFmtId="4" fontId="0" fillId="0" borderId="62" xfId="0" applyNumberFormat="1" applyBorder="1"/>
    <xf numFmtId="0" fontId="1" fillId="0" borderId="62" xfId="0" applyFont="1" applyBorder="1" applyAlignment="1">
      <alignment wrapText="1"/>
    </xf>
    <xf numFmtId="0" fontId="37" fillId="0" borderId="62" xfId="0" applyFont="1" applyBorder="1"/>
    <xf numFmtId="4" fontId="1" fillId="0" borderId="62" xfId="0" applyNumberFormat="1" applyFont="1" applyBorder="1"/>
    <xf numFmtId="165" fontId="1" fillId="0" borderId="62" xfId="0" applyNumberFormat="1" applyFont="1" applyBorder="1" applyAlignment="1">
      <alignment horizontal="left" wrapText="1"/>
    </xf>
    <xf numFmtId="165" fontId="1" fillId="0" borderId="62" xfId="0" applyNumberFormat="1" applyFont="1" applyFill="1" applyBorder="1" applyAlignment="1">
      <alignment horizontal="left" wrapText="1"/>
    </xf>
    <xf numFmtId="0" fontId="37" fillId="0" borderId="62" xfId="0" applyFont="1" applyFill="1" applyBorder="1"/>
    <xf numFmtId="4" fontId="1" fillId="0" borderId="62" xfId="0" applyNumberFormat="1" applyFont="1" applyFill="1" applyBorder="1"/>
    <xf numFmtId="165" fontId="1" fillId="0" borderId="62" xfId="0" applyNumberFormat="1" applyFont="1" applyFill="1" applyBorder="1" applyAlignment="1">
      <alignment horizontal="left" wrapText="1" indent="3"/>
    </xf>
    <xf numFmtId="0" fontId="0" fillId="0" borderId="79" xfId="0" applyBorder="1"/>
    <xf numFmtId="2" fontId="0" fillId="0" borderId="79" xfId="0" applyNumberFormat="1" applyBorder="1"/>
    <xf numFmtId="0" fontId="0" fillId="0" borderId="80" xfId="0" applyBorder="1"/>
    <xf numFmtId="166" fontId="0" fillId="0" borderId="80" xfId="0" applyNumberFormat="1" applyBorder="1"/>
    <xf numFmtId="0" fontId="25" fillId="0" borderId="58" xfId="0" applyFont="1" applyBorder="1"/>
    <xf numFmtId="167" fontId="0" fillId="0" borderId="59" xfId="0" applyNumberFormat="1" applyBorder="1"/>
    <xf numFmtId="0" fontId="0" fillId="0" borderId="59" xfId="0" applyBorder="1"/>
    <xf numFmtId="0" fontId="0" fillId="0" borderId="60" xfId="0" applyBorder="1"/>
    <xf numFmtId="0" fontId="0" fillId="0" borderId="61" xfId="0" applyBorder="1"/>
    <xf numFmtId="0" fontId="0" fillId="0" borderId="63" xfId="0" applyBorder="1"/>
    <xf numFmtId="0" fontId="3" fillId="0" borderId="61" xfId="0" applyFont="1" applyBorder="1"/>
    <xf numFmtId="0" fontId="1" fillId="0" borderId="61" xfId="0" applyFont="1" applyBorder="1"/>
    <xf numFmtId="43" fontId="0" fillId="0" borderId="63" xfId="0" applyNumberFormat="1" applyBorder="1"/>
    <xf numFmtId="4" fontId="0" fillId="0" borderId="63" xfId="0" applyNumberFormat="1" applyBorder="1"/>
    <xf numFmtId="0" fontId="1" fillId="0" borderId="61" xfId="0" applyFont="1" applyBorder="1" applyAlignment="1">
      <alignment horizontal="left" wrapText="1" indent="3"/>
    </xf>
    <xf numFmtId="165" fontId="1" fillId="0" borderId="61" xfId="0" applyNumberFormat="1" applyFont="1" applyBorder="1" applyAlignment="1">
      <alignment horizontal="left" wrapText="1" indent="3"/>
    </xf>
    <xf numFmtId="166" fontId="1" fillId="0" borderId="61" xfId="0" applyNumberFormat="1" applyFont="1" applyBorder="1"/>
    <xf numFmtId="166" fontId="0" fillId="0" borderId="61" xfId="0" applyNumberFormat="1" applyBorder="1"/>
    <xf numFmtId="0" fontId="0" fillId="0" borderId="81" xfId="0" applyBorder="1"/>
    <xf numFmtId="0" fontId="0" fillId="0" borderId="82" xfId="0" applyBorder="1"/>
    <xf numFmtId="166" fontId="0" fillId="0" borderId="23" xfId="0" applyNumberFormat="1" applyBorder="1"/>
    <xf numFmtId="0" fontId="54" fillId="0" borderId="62" xfId="0" applyFont="1" applyBorder="1"/>
    <xf numFmtId="0" fontId="54" fillId="27" borderId="62" xfId="0" applyFont="1" applyFill="1" applyBorder="1"/>
    <xf numFmtId="3" fontId="54" fillId="27" borderId="62" xfId="0" applyNumberFormat="1" applyFont="1" applyFill="1" applyBorder="1"/>
    <xf numFmtId="0" fontId="54" fillId="0" borderId="81" xfId="0" applyFont="1" applyBorder="1"/>
    <xf numFmtId="0" fontId="54" fillId="0" borderId="59" xfId="0" applyFont="1" applyBorder="1"/>
    <xf numFmtId="0" fontId="54" fillId="0" borderId="80" xfId="0" applyFont="1" applyBorder="1"/>
    <xf numFmtId="3" fontId="54" fillId="0" borderId="62" xfId="0" applyNumberFormat="1" applyFont="1" applyBorder="1"/>
    <xf numFmtId="3" fontId="55" fillId="0" borderId="62" xfId="0" applyNumberFormat="1" applyFont="1" applyBorder="1"/>
    <xf numFmtId="3" fontId="54" fillId="0" borderId="81" xfId="0" applyNumberFormat="1" applyFont="1" applyBorder="1"/>
    <xf numFmtId="3" fontId="54" fillId="0" borderId="59" xfId="0" applyNumberFormat="1" applyFont="1" applyBorder="1"/>
    <xf numFmtId="3" fontId="55" fillId="0" borderId="83" xfId="0" applyNumberFormat="1" applyFont="1" applyBorder="1"/>
    <xf numFmtId="3" fontId="54" fillId="0" borderId="80" xfId="0" applyNumberFormat="1" applyFont="1" applyBorder="1"/>
    <xf numFmtId="0" fontId="53" fillId="0" borderId="58" xfId="0" applyFont="1" applyBorder="1"/>
    <xf numFmtId="0" fontId="54" fillId="0" borderId="60" xfId="0" applyFont="1" applyBorder="1"/>
    <xf numFmtId="0" fontId="54" fillId="0" borderId="61" xfId="0" applyFont="1" applyBorder="1"/>
    <xf numFmtId="0" fontId="54" fillId="0" borderId="63" xfId="0" applyFont="1" applyBorder="1"/>
    <xf numFmtId="0" fontId="55" fillId="0" borderId="61" xfId="0" applyFont="1" applyBorder="1"/>
    <xf numFmtId="0" fontId="54" fillId="0" borderId="23" xfId="0" applyFont="1" applyBorder="1"/>
    <xf numFmtId="3" fontId="54" fillId="0" borderId="23" xfId="0" applyNumberFormat="1" applyFont="1" applyBorder="1"/>
    <xf numFmtId="0" fontId="54" fillId="0" borderId="0" xfId="0" applyFont="1" applyBorder="1"/>
    <xf numFmtId="3" fontId="54" fillId="0" borderId="0" xfId="0" applyNumberFormat="1" applyFont="1" applyBorder="1"/>
    <xf numFmtId="0" fontId="0" fillId="0" borderId="57" xfId="0" quotePrefix="1" applyBorder="1"/>
    <xf numFmtId="4" fontId="0" fillId="0" borderId="12" xfId="0" applyNumberFormat="1" applyBorder="1" applyAlignment="1">
      <alignment horizontal="center"/>
    </xf>
    <xf numFmtId="0" fontId="1" fillId="0" borderId="7" xfId="0" applyFont="1" applyBorder="1" applyAlignment="1">
      <alignment horizontal="center"/>
    </xf>
    <xf numFmtId="0" fontId="0" fillId="0" borderId="84" xfId="0" applyBorder="1"/>
    <xf numFmtId="0" fontId="0" fillId="0" borderId="85" xfId="0" applyBorder="1"/>
    <xf numFmtId="166" fontId="0" fillId="0" borderId="85" xfId="0" applyNumberFormat="1" applyBorder="1"/>
    <xf numFmtId="0" fontId="0" fillId="0" borderId="86" xfId="0" applyBorder="1"/>
    <xf numFmtId="0" fontId="54" fillId="0" borderId="84" xfId="0" applyFont="1" applyBorder="1"/>
    <xf numFmtId="0" fontId="54" fillId="0" borderId="85" xfId="0" applyFont="1" applyBorder="1"/>
    <xf numFmtId="3" fontId="54" fillId="0" borderId="85" xfId="0" applyNumberFormat="1" applyFont="1" applyBorder="1"/>
    <xf numFmtId="3" fontId="54" fillId="0" borderId="87" xfId="0" applyNumberFormat="1" applyFont="1" applyBorder="1"/>
    <xf numFmtId="0" fontId="54" fillId="0" borderId="86" xfId="0" applyFont="1" applyBorder="1"/>
    <xf numFmtId="4" fontId="0" fillId="0" borderId="10" xfId="0" applyNumberFormat="1" applyBorder="1" applyAlignment="1">
      <alignment horizontal="center"/>
    </xf>
    <xf numFmtId="4" fontId="0" fillId="0" borderId="22" xfId="0" applyNumberFormat="1" applyBorder="1" applyAlignment="1">
      <alignment horizontal="center"/>
    </xf>
    <xf numFmtId="4" fontId="0" fillId="0" borderId="34" xfId="0" applyNumberFormat="1" applyBorder="1" applyAlignment="1">
      <alignment horizontal="center"/>
    </xf>
    <xf numFmtId="4" fontId="0" fillId="0" borderId="35" xfId="0" applyNumberFormat="1" applyBorder="1" applyAlignment="1">
      <alignment horizontal="center"/>
    </xf>
    <xf numFmtId="4" fontId="0" fillId="0" borderId="12" xfId="0" applyNumberFormat="1" applyBorder="1" applyAlignment="1">
      <alignment horizontal="center"/>
    </xf>
    <xf numFmtId="0" fontId="38" fillId="0" borderId="57" xfId="0" applyFont="1" applyBorder="1"/>
    <xf numFmtId="0" fontId="44" fillId="0" borderId="0" xfId="0" applyFont="1" applyAlignment="1">
      <alignment vertical="center"/>
    </xf>
    <xf numFmtId="0" fontId="25" fillId="0" borderId="0" xfId="0" applyFont="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44" fillId="0" borderId="0" xfId="0" applyFont="1" applyAlignment="1">
      <alignment wrapText="1"/>
    </xf>
    <xf numFmtId="0" fontId="44" fillId="0" borderId="66" xfId="0" applyFont="1" applyBorder="1" applyAlignment="1">
      <alignment wrapText="1"/>
    </xf>
    <xf numFmtId="0" fontId="48" fillId="0" borderId="0" xfId="0" applyFont="1" applyAlignment="1">
      <alignment horizontal="left" vertical="center" wrapText="1"/>
    </xf>
    <xf numFmtId="0" fontId="0" fillId="0" borderId="0" xfId="0" applyAlignment="1">
      <alignment wrapText="1"/>
    </xf>
    <xf numFmtId="0" fontId="44" fillId="0" borderId="0" xfId="0" applyFont="1" applyAlignment="1">
      <alignment vertical="center" wrapText="1"/>
    </xf>
    <xf numFmtId="0" fontId="0" fillId="0" borderId="7" xfId="0" applyBorder="1" applyAlignment="1">
      <alignment vertical="center" wrapText="1"/>
    </xf>
  </cellXfs>
  <cellStyles count="4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C000000}"/>
    <cellStyle name="Good" xfId="29" xr:uid="{00000000-0005-0000-0000-00001D000000}"/>
    <cellStyle name="Heading 1" xfId="30" xr:uid="{00000000-0005-0000-0000-00001E000000}"/>
    <cellStyle name="Heading 2" xfId="31" xr:uid="{00000000-0005-0000-0000-00001F000000}"/>
    <cellStyle name="Heading 3" xfId="32" xr:uid="{00000000-0005-0000-0000-000020000000}"/>
    <cellStyle name="Heading 4" xfId="33" xr:uid="{00000000-0005-0000-0000-000021000000}"/>
    <cellStyle name="Input" xfId="34" xr:uid="{00000000-0005-0000-0000-000022000000}"/>
    <cellStyle name="Linked Cell" xfId="35" xr:uid="{00000000-0005-0000-0000-000023000000}"/>
    <cellStyle name="Neutral" xfId="36" xr:uid="{00000000-0005-0000-0000-000024000000}"/>
    <cellStyle name="Normal" xfId="0" builtinId="0"/>
    <cellStyle name="Note" xfId="37" xr:uid="{00000000-0005-0000-0000-000026000000}"/>
    <cellStyle name="Output" xfId="38" xr:uid="{00000000-0005-0000-0000-000027000000}"/>
    <cellStyle name="Title" xfId="39" xr:uid="{00000000-0005-0000-0000-000028000000}"/>
    <cellStyle name="Total" xfId="40" xr:uid="{00000000-0005-0000-0000-000029000000}"/>
    <cellStyle name="Warning Text" xfId="41" xr:uid="{00000000-0005-0000-0000-00002A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pieChart>
        <c:varyColors val="1"/>
        <c:ser>
          <c:idx val="0"/>
          <c:order val="0"/>
          <c:cat>
            <c:strRef>
              <c:f>'Open Meeting Summary'!$A$9:$A$16</c:f>
              <c:strCache>
                <c:ptCount val="8"/>
                <c:pt idx="0">
                  <c:v>Clerk's salary + exps</c:v>
                </c:pt>
                <c:pt idx="1">
                  <c:v>Training</c:v>
                </c:pt>
                <c:pt idx="2">
                  <c:v>Admin</c:v>
                </c:pt>
                <c:pt idx="3">
                  <c:v>Fees</c:v>
                </c:pt>
                <c:pt idx="4">
                  <c:v>Insurance</c:v>
                </c:pt>
                <c:pt idx="5">
                  <c:v>Skylark</c:v>
                </c:pt>
                <c:pt idx="6">
                  <c:v>Village Maintenance</c:v>
                </c:pt>
                <c:pt idx="7">
                  <c:v>VAT</c:v>
                </c:pt>
              </c:strCache>
            </c:strRef>
          </c:cat>
          <c:val>
            <c:numRef>
              <c:f>'Open Meeting Summary'!$B$9:$B$16</c:f>
              <c:numCache>
                <c:formatCode>#,##0.00</c:formatCode>
                <c:ptCount val="8"/>
                <c:pt idx="0">
                  <c:v>2701.97</c:v>
                </c:pt>
                <c:pt idx="1">
                  <c:v>171.8</c:v>
                </c:pt>
                <c:pt idx="2">
                  <c:v>75.36</c:v>
                </c:pt>
                <c:pt idx="3">
                  <c:v>775.87833333333333</c:v>
                </c:pt>
                <c:pt idx="4">
                  <c:v>338.88</c:v>
                </c:pt>
                <c:pt idx="5">
                  <c:v>276</c:v>
                </c:pt>
                <c:pt idx="6">
                  <c:v>1124</c:v>
                </c:pt>
                <c:pt idx="7">
                  <c:v>40.611666666666665</c:v>
                </c:pt>
              </c:numCache>
            </c:numRef>
          </c:val>
          <c:extLst>
            <c:ext xmlns:c16="http://schemas.microsoft.com/office/drawing/2014/chart" uri="{C3380CC4-5D6E-409C-BE32-E72D297353CC}">
              <c16:uniqueId val="{00000000-BA30-2644-A282-80DCBF041305}"/>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59267</xdr:colOff>
      <xdr:row>18</xdr:row>
      <xdr:rowOff>38100</xdr:rowOff>
    </xdr:from>
    <xdr:to>
      <xdr:col>2</xdr:col>
      <xdr:colOff>1854200</xdr:colOff>
      <xdr:row>35</xdr:row>
      <xdr:rowOff>160868</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36"/>
  <sheetViews>
    <sheetView tabSelected="1" zoomScale="150" zoomScaleNormal="150" zoomScaleSheetLayoutView="100" workbookViewId="0">
      <pane ySplit="2600" activePane="bottomLeft"/>
      <selection activeCell="U1" sqref="U1:U1048576"/>
      <selection pane="bottomLeft" activeCell="P64" sqref="P64"/>
    </sheetView>
  </sheetViews>
  <sheetFormatPr baseColWidth="10" defaultColWidth="8.83203125" defaultRowHeight="13" x14ac:dyDescent="0.15"/>
  <cols>
    <col min="1" max="1" width="10.6640625" style="54" customWidth="1"/>
    <col min="2" max="2" width="36.5" style="7" customWidth="1"/>
    <col min="3" max="3" width="8.33203125" style="4" customWidth="1"/>
    <col min="4" max="4" width="9.33203125" style="35" customWidth="1"/>
    <col min="5" max="5" width="8.5" style="35" customWidth="1"/>
    <col min="6" max="6" width="9.33203125" style="35" customWidth="1"/>
    <col min="7" max="7" width="8.33203125" style="35" customWidth="1"/>
    <col min="8" max="8" width="8.6640625" style="35" customWidth="1"/>
    <col min="9" max="9" width="6.6640625" style="36" customWidth="1"/>
    <col min="10" max="10" width="6.1640625" style="37" customWidth="1"/>
    <col min="11" max="11" width="8.6640625" style="38" customWidth="1"/>
    <col min="12" max="12" width="6.33203125" style="35" customWidth="1"/>
    <col min="13" max="13" width="7.5" style="35" customWidth="1"/>
    <col min="14" max="14" width="7.33203125" style="35" customWidth="1"/>
    <col min="15" max="15" width="8" style="35" customWidth="1"/>
    <col min="16" max="16" width="7.83203125" style="35" customWidth="1"/>
    <col min="17" max="17" width="6.33203125" style="35" customWidth="1"/>
    <col min="18" max="18" width="7.83203125" style="35" customWidth="1"/>
    <col min="19" max="19" width="6.5" style="35" customWidth="1"/>
    <col min="20" max="20" width="8.83203125" style="36" customWidth="1"/>
    <col min="21" max="21" width="7" style="154" customWidth="1"/>
    <col min="22" max="22" width="22.6640625" style="130" customWidth="1"/>
    <col min="23" max="23" width="6.1640625" style="8" customWidth="1"/>
    <col min="24" max="24" width="7.83203125" style="8" customWidth="1"/>
    <col min="25" max="25" width="12.33203125" style="8" customWidth="1"/>
    <col min="26" max="26" width="7.6640625" style="8" customWidth="1"/>
    <col min="27" max="27" width="12.83203125" style="4" customWidth="1"/>
    <col min="28" max="28" width="17.6640625" style="8" customWidth="1"/>
    <col min="29" max="29" width="9.1640625" style="8" customWidth="1"/>
    <col min="30" max="16384" width="8.83203125" style="4"/>
  </cols>
  <sheetData>
    <row r="1" spans="1:31" ht="20" customHeight="1" x14ac:dyDescent="0.2">
      <c r="A1" s="46" t="s">
        <v>242</v>
      </c>
      <c r="B1" s="47"/>
      <c r="C1" s="48"/>
      <c r="D1" s="49"/>
      <c r="E1" s="49"/>
      <c r="F1" s="49"/>
      <c r="G1" s="49"/>
      <c r="H1" s="49"/>
      <c r="I1" s="50"/>
      <c r="J1" s="51"/>
      <c r="K1" s="52"/>
      <c r="L1" s="49"/>
      <c r="M1" s="49"/>
      <c r="N1" s="49"/>
      <c r="O1" s="49"/>
      <c r="P1" s="49"/>
      <c r="Q1" s="49"/>
      <c r="R1" s="49"/>
      <c r="S1" s="49"/>
      <c r="T1" s="62"/>
      <c r="U1" s="396"/>
      <c r="W1" s="17"/>
      <c r="X1" s="17"/>
      <c r="Y1" s="17"/>
      <c r="Z1" s="17"/>
      <c r="AB1" s="17"/>
      <c r="AC1" s="17"/>
    </row>
    <row r="2" spans="1:31" ht="16" x14ac:dyDescent="0.2">
      <c r="A2" s="53"/>
      <c r="B2" s="10"/>
      <c r="D2" s="58"/>
      <c r="E2" s="58"/>
      <c r="F2" s="58"/>
      <c r="G2" s="407" t="s">
        <v>32</v>
      </c>
      <c r="H2" s="408"/>
      <c r="I2" s="409"/>
      <c r="K2" s="410" t="s">
        <v>4</v>
      </c>
      <c r="L2" s="408"/>
      <c r="M2" s="408"/>
      <c r="N2" s="408"/>
      <c r="O2" s="408"/>
      <c r="P2" s="408"/>
      <c r="Q2" s="408"/>
      <c r="R2" s="408"/>
      <c r="S2" s="411"/>
      <c r="T2" s="63"/>
      <c r="U2" s="396"/>
      <c r="V2" s="131"/>
      <c r="W2" s="11"/>
      <c r="X2" s="11"/>
      <c r="Y2" s="11"/>
      <c r="Z2" s="17"/>
      <c r="AB2" s="17"/>
      <c r="AC2" s="17"/>
    </row>
    <row r="3" spans="1:31" x14ac:dyDescent="0.15">
      <c r="B3" s="61"/>
      <c r="D3" s="58"/>
      <c r="E3" s="58"/>
      <c r="F3" s="58"/>
      <c r="G3" s="58"/>
      <c r="H3" s="58" t="s">
        <v>2</v>
      </c>
      <c r="I3" s="36" t="s">
        <v>61</v>
      </c>
      <c r="J3" s="37" t="s">
        <v>123</v>
      </c>
      <c r="K3" s="38" t="s">
        <v>62</v>
      </c>
      <c r="L3" s="58" t="s">
        <v>100</v>
      </c>
      <c r="M3" s="58"/>
      <c r="N3" s="58" t="s">
        <v>70</v>
      </c>
      <c r="O3" s="58"/>
      <c r="P3" s="58"/>
      <c r="Q3" s="58"/>
      <c r="R3" s="58" t="s">
        <v>24</v>
      </c>
      <c r="S3" s="58"/>
      <c r="T3" s="64"/>
      <c r="U3" s="396"/>
      <c r="V3" s="104"/>
      <c r="W3" s="17"/>
      <c r="X3" s="17"/>
      <c r="Y3" s="4"/>
      <c r="Z3" s="4"/>
      <c r="AB3" s="4"/>
      <c r="AC3" s="4"/>
    </row>
    <row r="4" spans="1:31" s="15" customFormat="1" ht="15" thickBot="1" x14ac:dyDescent="0.2">
      <c r="A4" s="65" t="s">
        <v>29</v>
      </c>
      <c r="B4" s="66" t="s">
        <v>136</v>
      </c>
      <c r="C4" s="67" t="s">
        <v>137</v>
      </c>
      <c r="D4" s="69" t="s">
        <v>63</v>
      </c>
      <c r="E4" s="69" t="s">
        <v>96</v>
      </c>
      <c r="F4" s="69" t="s">
        <v>125</v>
      </c>
      <c r="G4" s="68" t="s">
        <v>102</v>
      </c>
      <c r="H4" s="60" t="s">
        <v>103</v>
      </c>
      <c r="I4" s="70" t="s">
        <v>142</v>
      </c>
      <c r="J4" s="71" t="s">
        <v>99</v>
      </c>
      <c r="K4" s="72" t="s">
        <v>95</v>
      </c>
      <c r="L4" s="87" t="s">
        <v>49</v>
      </c>
      <c r="M4" s="232" t="s">
        <v>225</v>
      </c>
      <c r="N4" s="68" t="s">
        <v>72</v>
      </c>
      <c r="O4" s="68" t="s">
        <v>98</v>
      </c>
      <c r="P4" s="68" t="s">
        <v>69</v>
      </c>
      <c r="Q4" s="68" t="s">
        <v>58</v>
      </c>
      <c r="R4" s="68" t="s">
        <v>104</v>
      </c>
      <c r="S4" s="68" t="s">
        <v>37</v>
      </c>
      <c r="T4" s="73" t="s">
        <v>82</v>
      </c>
      <c r="U4" s="396" t="s">
        <v>75</v>
      </c>
      <c r="V4" s="104" t="s">
        <v>105</v>
      </c>
      <c r="W4" s="74"/>
      <c r="X4" s="74"/>
      <c r="Y4" s="75"/>
      <c r="Z4" s="75"/>
      <c r="AA4" s="75"/>
      <c r="AB4" s="75"/>
      <c r="AC4" s="4"/>
      <c r="AD4" s="4"/>
      <c r="AE4" s="4"/>
    </row>
    <row r="5" spans="1:31" s="32" customFormat="1" ht="19" customHeight="1" x14ac:dyDescent="0.15">
      <c r="A5" s="81">
        <v>43922</v>
      </c>
      <c r="B5" s="190" t="s">
        <v>60</v>
      </c>
      <c r="D5" s="267"/>
      <c r="E5" s="267"/>
      <c r="F5" s="185">
        <v>15236.63</v>
      </c>
      <c r="G5" s="91"/>
      <c r="H5" s="92"/>
      <c r="I5" s="93"/>
      <c r="J5" s="77"/>
      <c r="K5" s="78"/>
      <c r="L5" s="76"/>
      <c r="M5" s="76"/>
      <c r="N5" s="76"/>
      <c r="O5" s="76"/>
      <c r="P5" s="76"/>
      <c r="Q5" s="76"/>
      <c r="R5" s="76"/>
      <c r="S5" s="76">
        <v>85.83</v>
      </c>
      <c r="T5" s="79"/>
      <c r="U5" s="396"/>
      <c r="V5" s="104"/>
      <c r="W5" s="74"/>
      <c r="X5" s="74"/>
      <c r="Y5" s="75"/>
      <c r="Z5" s="75"/>
      <c r="AA5" s="75"/>
      <c r="AB5" s="75"/>
      <c r="AC5" s="4"/>
      <c r="AD5" s="4"/>
      <c r="AE5" s="4"/>
    </row>
    <row r="6" spans="1:31" s="32" customFormat="1" ht="14" customHeight="1" x14ac:dyDescent="0.15">
      <c r="A6" s="81"/>
      <c r="B6" s="34" t="s">
        <v>243</v>
      </c>
      <c r="C6" s="4"/>
      <c r="D6" s="4"/>
      <c r="E6" s="4"/>
      <c r="F6" s="183"/>
      <c r="G6" s="91"/>
      <c r="H6" s="173"/>
      <c r="I6" s="93"/>
      <c r="J6" s="77"/>
      <c r="K6" s="78"/>
      <c r="L6" s="91"/>
      <c r="M6" s="91"/>
      <c r="N6" s="91"/>
      <c r="O6" s="91"/>
      <c r="P6" s="91"/>
      <c r="Q6" s="91"/>
      <c r="R6" s="91"/>
      <c r="S6" s="91"/>
      <c r="T6" s="79"/>
      <c r="U6" s="396"/>
      <c r="V6" s="104"/>
      <c r="W6" s="74"/>
      <c r="X6" s="74"/>
      <c r="Y6" s="75"/>
      <c r="Z6" s="75"/>
      <c r="AA6" s="75"/>
      <c r="AB6" s="75"/>
      <c r="AC6" s="4"/>
      <c r="AD6" s="4"/>
      <c r="AE6" s="4"/>
    </row>
    <row r="7" spans="1:31" s="32" customFormat="1" ht="14" customHeight="1" x14ac:dyDescent="0.15">
      <c r="A7" s="55">
        <v>43913</v>
      </c>
      <c r="B7" s="90" t="s">
        <v>172</v>
      </c>
      <c r="C7" s="6">
        <v>100743</v>
      </c>
      <c r="D7" s="43"/>
      <c r="E7" s="43">
        <v>474.17</v>
      </c>
      <c r="F7" s="265">
        <f>F5-E7</f>
        <v>14762.46</v>
      </c>
      <c r="G7" s="91"/>
      <c r="H7" s="173"/>
      <c r="I7" s="93"/>
      <c r="J7" s="77"/>
      <c r="K7" s="78"/>
      <c r="L7" s="91"/>
      <c r="M7" s="91"/>
      <c r="N7" s="91"/>
      <c r="O7" s="91"/>
      <c r="P7" s="91"/>
      <c r="Q7" s="91"/>
      <c r="R7" s="91"/>
      <c r="S7" s="91"/>
      <c r="T7" s="79"/>
      <c r="U7" s="396" t="s">
        <v>265</v>
      </c>
      <c r="V7" s="104" t="s">
        <v>254</v>
      </c>
      <c r="W7" s="74"/>
      <c r="X7" s="74"/>
      <c r="Y7" s="75"/>
      <c r="Z7" s="75"/>
      <c r="AA7" s="75"/>
      <c r="AB7" s="75"/>
      <c r="AC7" s="4"/>
      <c r="AD7" s="4"/>
      <c r="AE7" s="4"/>
    </row>
    <row r="8" spans="1:31" s="32" customFormat="1" ht="14" customHeight="1" x14ac:dyDescent="0.15">
      <c r="A8" s="55">
        <v>43913</v>
      </c>
      <c r="B8" s="90" t="s">
        <v>173</v>
      </c>
      <c r="C8" s="6">
        <v>100744</v>
      </c>
      <c r="D8" s="43"/>
      <c r="E8" s="43">
        <v>69</v>
      </c>
      <c r="F8" s="265">
        <f t="shared" ref="F8:F13" si="0">F7-E8</f>
        <v>14693.46</v>
      </c>
      <c r="G8" s="91"/>
      <c r="H8" s="173"/>
      <c r="I8" s="93"/>
      <c r="J8" s="77"/>
      <c r="K8" s="78"/>
      <c r="L8" s="91"/>
      <c r="M8" s="91"/>
      <c r="N8" s="91"/>
      <c r="O8" s="91"/>
      <c r="P8" s="91"/>
      <c r="Q8" s="91"/>
      <c r="R8" s="91"/>
      <c r="S8" s="91"/>
      <c r="T8" s="79"/>
      <c r="U8" s="396" t="s">
        <v>266</v>
      </c>
      <c r="V8" s="104" t="s">
        <v>254</v>
      </c>
      <c r="W8" s="74"/>
      <c r="X8" s="74"/>
      <c r="Y8" s="75"/>
      <c r="Z8" s="75"/>
      <c r="AA8" s="75"/>
      <c r="AB8" s="75"/>
      <c r="AC8" s="4"/>
      <c r="AD8" s="4"/>
      <c r="AE8" s="4"/>
    </row>
    <row r="9" spans="1:31" s="32" customFormat="1" ht="14" customHeight="1" x14ac:dyDescent="0.15">
      <c r="A9" s="55">
        <v>43921</v>
      </c>
      <c r="B9" s="90" t="s">
        <v>13</v>
      </c>
      <c r="C9" s="6">
        <v>100746</v>
      </c>
      <c r="D9" s="43"/>
      <c r="E9" s="43">
        <v>314.60000000000002</v>
      </c>
      <c r="F9" s="265">
        <f t="shared" si="0"/>
        <v>14378.859999999999</v>
      </c>
      <c r="G9" s="91"/>
      <c r="H9" s="173"/>
      <c r="I9" s="93"/>
      <c r="J9" s="77"/>
      <c r="K9" s="78"/>
      <c r="L9" s="91"/>
      <c r="M9" s="91"/>
      <c r="N9" s="91"/>
      <c r="O9" s="91"/>
      <c r="P9" s="91"/>
      <c r="Q9" s="91"/>
      <c r="R9" s="91"/>
      <c r="S9" s="91"/>
      <c r="T9" s="79"/>
      <c r="U9" s="396" t="s">
        <v>267</v>
      </c>
      <c r="V9" s="104" t="s">
        <v>254</v>
      </c>
      <c r="W9" s="74"/>
      <c r="X9" s="74"/>
      <c r="Y9" s="75"/>
      <c r="Z9" s="75"/>
      <c r="AA9" s="75"/>
      <c r="AB9" s="75"/>
      <c r="AC9" s="4"/>
      <c r="AD9" s="4"/>
      <c r="AE9" s="4"/>
    </row>
    <row r="10" spans="1:31" s="32" customFormat="1" ht="14" customHeight="1" x14ac:dyDescent="0.15">
      <c r="A10" s="55">
        <v>43921</v>
      </c>
      <c r="B10" s="90" t="s">
        <v>174</v>
      </c>
      <c r="C10" s="6">
        <v>100746</v>
      </c>
      <c r="D10" s="43"/>
      <c r="E10" s="43">
        <v>136.80000000000001</v>
      </c>
      <c r="F10" s="265">
        <f t="shared" si="0"/>
        <v>14242.06</v>
      </c>
      <c r="G10" s="91"/>
      <c r="H10" s="173"/>
      <c r="I10" s="93"/>
      <c r="J10" s="77"/>
      <c r="K10" s="78"/>
      <c r="L10" s="91"/>
      <c r="M10" s="91"/>
      <c r="N10" s="91"/>
      <c r="O10" s="91"/>
      <c r="P10" s="91"/>
      <c r="Q10" s="91"/>
      <c r="R10" s="91"/>
      <c r="S10" s="91"/>
      <c r="T10" s="79"/>
      <c r="U10" s="396" t="s">
        <v>268</v>
      </c>
      <c r="V10" s="104" t="s">
        <v>254</v>
      </c>
      <c r="W10" s="74"/>
      <c r="X10" s="74"/>
      <c r="Y10" s="75"/>
      <c r="Z10" s="75"/>
      <c r="AA10" s="75"/>
      <c r="AB10" s="75"/>
      <c r="AC10" s="4"/>
      <c r="AD10" s="4"/>
      <c r="AE10" s="4"/>
    </row>
    <row r="11" spans="1:31" s="32" customFormat="1" ht="14" customHeight="1" x14ac:dyDescent="0.15">
      <c r="A11" s="55">
        <v>43921</v>
      </c>
      <c r="B11" s="90" t="s">
        <v>12</v>
      </c>
      <c r="C11" s="6">
        <v>100747</v>
      </c>
      <c r="D11" s="43"/>
      <c r="E11" s="43">
        <v>1387.8</v>
      </c>
      <c r="F11" s="265">
        <f t="shared" si="0"/>
        <v>12854.26</v>
      </c>
      <c r="G11" s="91"/>
      <c r="H11" s="173"/>
      <c r="I11" s="93"/>
      <c r="J11" s="77"/>
      <c r="K11" s="78"/>
      <c r="L11" s="91"/>
      <c r="M11" s="91"/>
      <c r="N11" s="91"/>
      <c r="O11" s="91"/>
      <c r="P11" s="91"/>
      <c r="Q11" s="91"/>
      <c r="R11" s="91"/>
      <c r="S11" s="91"/>
      <c r="T11" s="79"/>
      <c r="U11" s="396" t="s">
        <v>267</v>
      </c>
      <c r="V11" s="104" t="s">
        <v>254</v>
      </c>
      <c r="W11" s="74"/>
      <c r="X11" s="74"/>
      <c r="Y11" s="75"/>
      <c r="Z11" s="75"/>
      <c r="AA11" s="75"/>
      <c r="AB11" s="75"/>
      <c r="AC11" s="4"/>
      <c r="AD11" s="4"/>
      <c r="AE11" s="4"/>
    </row>
    <row r="12" spans="1:31" s="32" customFormat="1" ht="14" customHeight="1" x14ac:dyDescent="0.15">
      <c r="A12" s="55">
        <v>43921</v>
      </c>
      <c r="B12" s="90" t="s">
        <v>144</v>
      </c>
      <c r="C12" s="6">
        <v>100748</v>
      </c>
      <c r="D12" s="43"/>
      <c r="E12" s="43">
        <v>672.82</v>
      </c>
      <c r="F12" s="265">
        <f t="shared" si="0"/>
        <v>12181.44</v>
      </c>
      <c r="G12" s="91"/>
      <c r="H12" s="173"/>
      <c r="I12" s="93"/>
      <c r="J12" s="77"/>
      <c r="K12" s="78"/>
      <c r="L12" s="91"/>
      <c r="M12" s="91"/>
      <c r="N12" s="91"/>
      <c r="O12" s="91"/>
      <c r="P12" s="91"/>
      <c r="Q12" s="91"/>
      <c r="R12" s="91"/>
      <c r="S12" s="91"/>
      <c r="T12" s="79"/>
      <c r="U12" s="396" t="s">
        <v>268</v>
      </c>
      <c r="V12" s="104" t="s">
        <v>254</v>
      </c>
      <c r="W12" s="74"/>
      <c r="X12" s="74"/>
      <c r="Y12" s="75"/>
      <c r="Z12" s="75"/>
      <c r="AA12" s="75"/>
      <c r="AB12" s="75"/>
      <c r="AC12" s="4"/>
      <c r="AD12" s="4"/>
      <c r="AE12" s="4"/>
    </row>
    <row r="13" spans="1:31" s="32" customFormat="1" ht="28" x14ac:dyDescent="0.15">
      <c r="A13" s="55">
        <v>43739</v>
      </c>
      <c r="B13" s="16" t="s">
        <v>269</v>
      </c>
      <c r="C13" s="6">
        <v>100749</v>
      </c>
      <c r="D13" s="43"/>
      <c r="E13" s="43">
        <v>434.95</v>
      </c>
      <c r="F13" s="265">
        <f t="shared" si="0"/>
        <v>11746.49</v>
      </c>
      <c r="G13" s="94"/>
      <c r="H13" s="94"/>
      <c r="I13" s="95"/>
      <c r="J13" s="41"/>
      <c r="K13" s="42"/>
      <c r="L13" s="40"/>
      <c r="M13" s="40"/>
      <c r="N13" s="40"/>
      <c r="O13" s="40"/>
      <c r="P13" s="40"/>
      <c r="Q13" s="40"/>
      <c r="R13" s="40"/>
      <c r="S13" s="40"/>
      <c r="T13" s="80"/>
      <c r="U13" s="149" t="s">
        <v>264</v>
      </c>
      <c r="V13" s="104" t="s">
        <v>254</v>
      </c>
      <c r="W13" s="18"/>
      <c r="X13" s="18"/>
      <c r="Y13" s="33"/>
      <c r="Z13" s="13"/>
      <c r="AA13" s="13"/>
      <c r="AB13" s="13"/>
      <c r="AC13" s="13"/>
      <c r="AD13" s="4"/>
      <c r="AE13" s="4"/>
    </row>
    <row r="14" spans="1:31" s="32" customFormat="1" x14ac:dyDescent="0.15">
      <c r="A14" s="55"/>
      <c r="B14" s="16"/>
      <c r="C14" s="6"/>
      <c r="D14" s="43"/>
      <c r="E14" s="43"/>
      <c r="F14" s="265"/>
      <c r="G14" s="94"/>
      <c r="H14" s="94"/>
      <c r="I14" s="95"/>
      <c r="J14" s="41"/>
      <c r="K14" s="42"/>
      <c r="L14" s="94"/>
      <c r="M14" s="94"/>
      <c r="N14" s="94"/>
      <c r="O14" s="94"/>
      <c r="P14" s="94"/>
      <c r="Q14" s="94"/>
      <c r="R14" s="94"/>
      <c r="S14" s="94"/>
      <c r="T14" s="80"/>
      <c r="U14" s="149"/>
      <c r="V14" s="132"/>
      <c r="W14" s="18"/>
      <c r="X14" s="18"/>
      <c r="Y14" s="33"/>
      <c r="Z14" s="13"/>
      <c r="AA14" s="13"/>
      <c r="AB14" s="13"/>
      <c r="AC14" s="13"/>
      <c r="AD14" s="4"/>
      <c r="AE14" s="4"/>
    </row>
    <row r="15" spans="1:31" s="14" customFormat="1" ht="14" x14ac:dyDescent="0.15">
      <c r="A15" s="81">
        <v>43922</v>
      </c>
      <c r="B15" s="10" t="s">
        <v>60</v>
      </c>
      <c r="C15" s="4"/>
      <c r="D15" s="58"/>
      <c r="E15" s="58"/>
      <c r="F15" s="59">
        <v>11746.49</v>
      </c>
      <c r="G15" s="96"/>
      <c r="H15" s="96"/>
      <c r="I15" s="97"/>
      <c r="J15" s="82"/>
      <c r="K15" s="83"/>
      <c r="L15" s="44"/>
      <c r="M15" s="44"/>
      <c r="N15" s="44"/>
      <c r="O15" s="44"/>
      <c r="P15" s="44"/>
      <c r="Q15" s="44"/>
      <c r="R15" s="44"/>
      <c r="S15" s="272">
        <v>85.83</v>
      </c>
      <c r="T15" s="64"/>
      <c r="U15" s="396"/>
      <c r="V15" s="104"/>
      <c r="W15" s="74"/>
      <c r="X15" s="17"/>
      <c r="Y15" s="75"/>
      <c r="Z15" s="4"/>
      <c r="AA15" s="75"/>
      <c r="AB15" s="4"/>
      <c r="AC15" s="4"/>
      <c r="AD15" s="4"/>
      <c r="AE15" s="4"/>
    </row>
    <row r="16" spans="1:31" s="6" customFormat="1" ht="14" customHeight="1" x14ac:dyDescent="0.15">
      <c r="A16" s="55">
        <v>43922</v>
      </c>
      <c r="B16" s="16" t="s">
        <v>250</v>
      </c>
      <c r="C16" s="6">
        <v>100745</v>
      </c>
      <c r="D16" s="43"/>
      <c r="E16" s="43">
        <v>170</v>
      </c>
      <c r="F16" s="43">
        <f t="shared" ref="F16:F51" si="1">F15+D16-E16</f>
        <v>11576.49</v>
      </c>
      <c r="G16" s="43"/>
      <c r="H16" s="43"/>
      <c r="I16" s="101"/>
      <c r="J16" s="102"/>
      <c r="K16" s="89"/>
      <c r="L16" s="43"/>
      <c r="M16" s="43"/>
      <c r="N16" s="43"/>
      <c r="O16" s="43">
        <f>E16</f>
        <v>170</v>
      </c>
      <c r="P16" s="43"/>
      <c r="Q16" s="43"/>
      <c r="R16" s="43"/>
      <c r="S16" s="43"/>
      <c r="T16" s="88">
        <f t="shared" ref="T16:T49" si="2">SUM(G16:S16)</f>
        <v>170</v>
      </c>
      <c r="U16" s="180" t="s">
        <v>256</v>
      </c>
      <c r="V16" s="233"/>
      <c r="W16" s="181"/>
      <c r="X16" s="181"/>
      <c r="Y16" s="181"/>
      <c r="Z16" s="181"/>
      <c r="AB16" s="181"/>
      <c r="AC16" s="181"/>
    </row>
    <row r="17" spans="1:31" s="6" customFormat="1" ht="14" customHeight="1" x14ac:dyDescent="0.15">
      <c r="A17" s="55">
        <v>43965</v>
      </c>
      <c r="B17" s="16" t="s">
        <v>391</v>
      </c>
      <c r="C17" s="6" t="s">
        <v>20</v>
      </c>
      <c r="D17" s="43">
        <v>1312.5</v>
      </c>
      <c r="E17" s="43"/>
      <c r="F17" s="43">
        <f t="shared" si="1"/>
        <v>12888.99</v>
      </c>
      <c r="G17" s="176">
        <f>-D17</f>
        <v>-1312.5</v>
      </c>
      <c r="H17" s="176"/>
      <c r="I17" s="177"/>
      <c r="J17" s="178"/>
      <c r="K17" s="179"/>
      <c r="L17" s="176"/>
      <c r="M17" s="176"/>
      <c r="N17" s="176"/>
      <c r="O17" s="176"/>
      <c r="P17" s="176"/>
      <c r="Q17" s="176"/>
      <c r="R17" s="176"/>
      <c r="S17" s="176"/>
      <c r="T17" s="88">
        <f t="shared" si="2"/>
        <v>-1312.5</v>
      </c>
      <c r="U17" s="180" t="s">
        <v>261</v>
      </c>
      <c r="W17" s="182"/>
      <c r="X17" s="181"/>
      <c r="Y17" s="184"/>
      <c r="AA17" s="184"/>
    </row>
    <row r="18" spans="1:31" s="103" customFormat="1" ht="14" customHeight="1" x14ac:dyDescent="0.15">
      <c r="A18" s="55">
        <v>43965</v>
      </c>
      <c r="B18" s="16" t="s">
        <v>246</v>
      </c>
      <c r="C18" s="6" t="s">
        <v>20</v>
      </c>
      <c r="D18" s="43">
        <v>1312.5</v>
      </c>
      <c r="E18" s="43"/>
      <c r="F18" s="43">
        <f t="shared" si="1"/>
        <v>14201.49</v>
      </c>
      <c r="G18" s="176">
        <f>-D18</f>
        <v>-1312.5</v>
      </c>
      <c r="H18" s="176"/>
      <c r="I18" s="177"/>
      <c r="J18" s="178"/>
      <c r="K18" s="179"/>
      <c r="L18" s="176"/>
      <c r="M18" s="176"/>
      <c r="N18" s="176"/>
      <c r="O18" s="176"/>
      <c r="P18" s="176"/>
      <c r="Q18" s="176"/>
      <c r="R18" s="176"/>
      <c r="S18" s="176"/>
      <c r="T18" s="88">
        <f t="shared" si="2"/>
        <v>-1312.5</v>
      </c>
      <c r="U18" s="180" t="s">
        <v>316</v>
      </c>
      <c r="V18" s="6"/>
      <c r="W18" s="6"/>
      <c r="X18" s="181"/>
      <c r="Y18" s="184"/>
      <c r="Z18" s="6"/>
      <c r="AA18" s="184"/>
      <c r="AB18" s="6"/>
      <c r="AC18" s="6"/>
      <c r="AD18" s="6"/>
      <c r="AE18" s="6"/>
    </row>
    <row r="19" spans="1:31" s="103" customFormat="1" ht="14" customHeight="1" x14ac:dyDescent="0.15">
      <c r="A19" s="55">
        <v>43972</v>
      </c>
      <c r="B19" s="16" t="s">
        <v>255</v>
      </c>
      <c r="C19" s="6">
        <v>100751</v>
      </c>
      <c r="D19" s="43"/>
      <c r="E19" s="43">
        <f>157.22+50</f>
        <v>207.22</v>
      </c>
      <c r="F19" s="43">
        <f t="shared" si="1"/>
        <v>13994.27</v>
      </c>
      <c r="G19" s="176"/>
      <c r="H19" s="176"/>
      <c r="I19" s="177"/>
      <c r="J19" s="178"/>
      <c r="K19" s="179"/>
      <c r="L19" s="176"/>
      <c r="M19" s="176"/>
      <c r="N19" s="176"/>
      <c r="O19" s="176">
        <f>E19</f>
        <v>207.22</v>
      </c>
      <c r="P19" s="176"/>
      <c r="Q19" s="176"/>
      <c r="R19" s="176"/>
      <c r="S19" s="176"/>
      <c r="T19" s="88">
        <f t="shared" si="2"/>
        <v>207.22</v>
      </c>
      <c r="U19" s="180" t="s">
        <v>262</v>
      </c>
      <c r="V19" s="6"/>
      <c r="W19" s="182"/>
      <c r="X19" s="181"/>
      <c r="Y19" s="184"/>
      <c r="Z19" s="6"/>
      <c r="AA19" s="184"/>
      <c r="AB19" s="6"/>
      <c r="AC19" s="6"/>
      <c r="AD19" s="6"/>
      <c r="AE19" s="6"/>
    </row>
    <row r="20" spans="1:31" s="103" customFormat="1" ht="14" customHeight="1" x14ac:dyDescent="0.15">
      <c r="A20" s="55">
        <v>43972</v>
      </c>
      <c r="B20" s="90" t="s">
        <v>67</v>
      </c>
      <c r="C20" s="6">
        <v>100752</v>
      </c>
      <c r="D20" s="43"/>
      <c r="E20" s="43">
        <v>100</v>
      </c>
      <c r="F20" s="43">
        <f t="shared" si="1"/>
        <v>13894.27</v>
      </c>
      <c r="G20" s="176"/>
      <c r="H20" s="176"/>
      <c r="I20" s="177"/>
      <c r="J20" s="178"/>
      <c r="K20" s="179"/>
      <c r="L20" s="176"/>
      <c r="M20" s="176"/>
      <c r="N20" s="176"/>
      <c r="O20" s="176"/>
      <c r="P20" s="176"/>
      <c r="Q20" s="176"/>
      <c r="R20" s="176">
        <f>E20</f>
        <v>100</v>
      </c>
      <c r="S20" s="176"/>
      <c r="T20" s="88">
        <f t="shared" si="2"/>
        <v>100</v>
      </c>
      <c r="U20" s="180" t="s">
        <v>258</v>
      </c>
      <c r="V20" s="6"/>
      <c r="W20" s="6"/>
      <c r="X20" s="181"/>
      <c r="Y20" s="184"/>
      <c r="Z20" s="6"/>
      <c r="AA20" s="184"/>
      <c r="AB20" s="6"/>
      <c r="AC20" s="6"/>
      <c r="AD20" s="6"/>
      <c r="AE20" s="6"/>
    </row>
    <row r="21" spans="1:31" s="103" customFormat="1" ht="28" x14ac:dyDescent="0.15">
      <c r="A21" s="55">
        <v>43972</v>
      </c>
      <c r="B21" s="16" t="s">
        <v>260</v>
      </c>
      <c r="C21" s="6">
        <v>100753</v>
      </c>
      <c r="D21" s="43"/>
      <c r="E21" s="43">
        <v>50</v>
      </c>
      <c r="F21" s="43">
        <f t="shared" si="1"/>
        <v>13844.27</v>
      </c>
      <c r="G21" s="176"/>
      <c r="H21" s="176"/>
      <c r="I21" s="177"/>
      <c r="J21" s="178"/>
      <c r="K21" s="179"/>
      <c r="L21" s="176"/>
      <c r="M21" s="176"/>
      <c r="N21" s="176"/>
      <c r="O21" s="176">
        <f>E21</f>
        <v>50</v>
      </c>
      <c r="P21" s="176"/>
      <c r="Q21" s="176"/>
      <c r="R21" s="176"/>
      <c r="S21" s="176"/>
      <c r="T21" s="88">
        <f t="shared" si="2"/>
        <v>50</v>
      </c>
      <c r="U21" s="180" t="s">
        <v>259</v>
      </c>
      <c r="V21" s="6"/>
      <c r="W21" s="182"/>
      <c r="X21" s="181"/>
      <c r="Y21" s="184"/>
      <c r="Z21" s="6"/>
      <c r="AA21" s="184"/>
      <c r="AB21" s="6"/>
      <c r="AC21" s="6"/>
      <c r="AD21" s="6"/>
      <c r="AE21" s="6"/>
    </row>
    <row r="22" spans="1:31" s="103" customFormat="1" ht="28" x14ac:dyDescent="0.15">
      <c r="A22" s="55">
        <v>43972</v>
      </c>
      <c r="B22" s="16" t="s">
        <v>245</v>
      </c>
      <c r="C22" s="6">
        <v>100756</v>
      </c>
      <c r="D22" s="43"/>
      <c r="E22" s="43">
        <v>338.88</v>
      </c>
      <c r="F22" s="43">
        <f t="shared" si="1"/>
        <v>13505.390000000001</v>
      </c>
      <c r="G22" s="176"/>
      <c r="H22" s="176"/>
      <c r="I22" s="177"/>
      <c r="J22" s="178"/>
      <c r="K22" s="179"/>
      <c r="L22" s="176"/>
      <c r="M22" s="176"/>
      <c r="N22" s="176"/>
      <c r="O22" s="176"/>
      <c r="P22" s="176">
        <f>E22</f>
        <v>338.88</v>
      </c>
      <c r="Q22" s="176"/>
      <c r="R22" s="176"/>
      <c r="S22" s="176"/>
      <c r="T22" s="88">
        <f t="shared" si="2"/>
        <v>338.88</v>
      </c>
      <c r="U22" s="180" t="s">
        <v>263</v>
      </c>
      <c r="V22" s="182" t="s">
        <v>121</v>
      </c>
      <c r="W22" s="6">
        <f>E22/2</f>
        <v>169.44</v>
      </c>
      <c r="X22" s="181"/>
      <c r="Y22" s="184"/>
      <c r="Z22" s="6"/>
      <c r="AA22" s="184"/>
      <c r="AB22" s="6"/>
      <c r="AC22" s="6"/>
      <c r="AD22" s="6"/>
      <c r="AE22" s="6"/>
    </row>
    <row r="23" spans="1:31" s="103" customFormat="1" ht="14" customHeight="1" x14ac:dyDescent="0.15">
      <c r="A23" s="55">
        <v>43972</v>
      </c>
      <c r="B23" s="90" t="s">
        <v>244</v>
      </c>
      <c r="C23" s="6">
        <v>100761</v>
      </c>
      <c r="D23" s="43"/>
      <c r="E23" s="43">
        <v>144</v>
      </c>
      <c r="F23" s="43">
        <f t="shared" si="1"/>
        <v>13361.390000000001</v>
      </c>
      <c r="G23" s="176"/>
      <c r="H23" s="176"/>
      <c r="I23" s="177"/>
      <c r="J23" s="178"/>
      <c r="K23" s="179"/>
      <c r="L23" s="176"/>
      <c r="M23" s="176"/>
      <c r="N23" s="176"/>
      <c r="O23" s="176">
        <f>E23</f>
        <v>144</v>
      </c>
      <c r="P23" s="176"/>
      <c r="Q23" s="176"/>
      <c r="R23" s="176"/>
      <c r="S23" s="176"/>
      <c r="T23" s="88">
        <f t="shared" si="2"/>
        <v>144</v>
      </c>
      <c r="U23" s="180" t="s">
        <v>257</v>
      </c>
      <c r="V23" s="6" t="s">
        <v>51</v>
      </c>
      <c r="W23" s="6"/>
      <c r="X23" s="181"/>
      <c r="Y23" s="184"/>
      <c r="Z23" s="6"/>
      <c r="AA23" s="184"/>
      <c r="AB23" s="6"/>
      <c r="AC23" s="6"/>
      <c r="AD23" s="6"/>
      <c r="AE23" s="6"/>
    </row>
    <row r="24" spans="1:31" s="103" customFormat="1" ht="14" customHeight="1" x14ac:dyDescent="0.15">
      <c r="A24" s="55">
        <v>44000</v>
      </c>
      <c r="B24" s="16" t="s">
        <v>252</v>
      </c>
      <c r="C24" s="6" t="s">
        <v>253</v>
      </c>
      <c r="D24" s="43"/>
      <c r="E24" s="43">
        <f>30.28+44.47</f>
        <v>74.75</v>
      </c>
      <c r="F24" s="43">
        <f t="shared" si="1"/>
        <v>13286.640000000001</v>
      </c>
      <c r="G24" s="176"/>
      <c r="H24" s="176"/>
      <c r="I24" s="177"/>
      <c r="J24" s="178"/>
      <c r="K24" s="179"/>
      <c r="L24" s="176"/>
      <c r="M24" s="176"/>
      <c r="N24" s="176"/>
      <c r="O24" s="176"/>
      <c r="P24" s="176"/>
      <c r="Q24" s="176"/>
      <c r="R24" s="176">
        <f>E24-S24</f>
        <v>71.19</v>
      </c>
      <c r="S24" s="176">
        <f>1.44+2.12</f>
        <v>3.56</v>
      </c>
      <c r="T24" s="88">
        <f t="shared" si="2"/>
        <v>74.75</v>
      </c>
      <c r="U24" s="180" t="s">
        <v>318</v>
      </c>
      <c r="V24" s="6"/>
      <c r="W24" s="182"/>
      <c r="X24" s="181"/>
      <c r="Y24" s="184"/>
      <c r="Z24" s="6"/>
      <c r="AA24" s="184"/>
      <c r="AB24" s="6"/>
      <c r="AC24" s="6"/>
      <c r="AD24" s="6"/>
      <c r="AE24" s="6"/>
    </row>
    <row r="25" spans="1:31" s="103" customFormat="1" ht="14" customHeight="1" x14ac:dyDescent="0.15">
      <c r="A25" s="55">
        <v>44025</v>
      </c>
      <c r="B25" s="16" t="s">
        <v>252</v>
      </c>
      <c r="C25" s="6" t="s">
        <v>253</v>
      </c>
      <c r="D25" s="43"/>
      <c r="E25" s="43">
        <f>49.82+32.93</f>
        <v>82.75</v>
      </c>
      <c r="F25" s="43">
        <f t="shared" si="1"/>
        <v>13203.890000000001</v>
      </c>
      <c r="G25" s="176"/>
      <c r="H25" s="176"/>
      <c r="I25" s="177"/>
      <c r="J25" s="178"/>
      <c r="K25" s="179"/>
      <c r="L25" s="176"/>
      <c r="M25" s="176"/>
      <c r="N25" s="176"/>
      <c r="O25" s="176"/>
      <c r="P25" s="176"/>
      <c r="Q25" s="176"/>
      <c r="R25" s="176">
        <f>E25-S25</f>
        <v>78.81</v>
      </c>
      <c r="S25" s="176">
        <f>2.37+1.57</f>
        <v>3.9400000000000004</v>
      </c>
      <c r="T25" s="88">
        <f t="shared" si="2"/>
        <v>82.75</v>
      </c>
      <c r="U25" s="180" t="s">
        <v>331</v>
      </c>
      <c r="V25" s="6"/>
      <c r="W25" s="182"/>
      <c r="X25" s="181"/>
      <c r="Y25" s="184"/>
      <c r="Z25" s="6"/>
      <c r="AA25" s="184"/>
      <c r="AB25" s="6"/>
      <c r="AC25" s="6"/>
      <c r="AD25" s="6"/>
      <c r="AE25" s="6"/>
    </row>
    <row r="26" spans="1:31" s="103" customFormat="1" ht="14" customHeight="1" x14ac:dyDescent="0.15">
      <c r="A26" s="55">
        <v>44028</v>
      </c>
      <c r="B26" s="90" t="s">
        <v>270</v>
      </c>
      <c r="C26" s="6">
        <v>100755</v>
      </c>
      <c r="D26" s="43"/>
      <c r="E26" s="43">
        <v>69</v>
      </c>
      <c r="F26" s="43">
        <f t="shared" si="1"/>
        <v>13134.890000000001</v>
      </c>
      <c r="G26" s="176"/>
      <c r="H26" s="176"/>
      <c r="I26" s="177"/>
      <c r="J26" s="178"/>
      <c r="K26" s="179"/>
      <c r="L26" s="176"/>
      <c r="M26" s="176"/>
      <c r="N26" s="176"/>
      <c r="O26" s="6"/>
      <c r="P26" s="176"/>
      <c r="Q26" s="176">
        <f>E26</f>
        <v>69</v>
      </c>
      <c r="R26" s="176"/>
      <c r="S26" s="176"/>
      <c r="T26" s="88">
        <f t="shared" si="2"/>
        <v>69</v>
      </c>
      <c r="U26" s="180" t="s">
        <v>275</v>
      </c>
      <c r="V26" s="6"/>
      <c r="W26" s="6"/>
      <c r="X26" s="181"/>
      <c r="Y26" s="184"/>
      <c r="Z26" s="6"/>
      <c r="AA26" s="184"/>
      <c r="AB26" s="6"/>
      <c r="AC26" s="6"/>
      <c r="AD26" s="6"/>
      <c r="AE26" s="6"/>
    </row>
    <row r="27" spans="1:31" s="6" customFormat="1" ht="14" customHeight="1" x14ac:dyDescent="0.15">
      <c r="A27" s="55">
        <v>44028</v>
      </c>
      <c r="B27" s="90" t="s">
        <v>271</v>
      </c>
      <c r="C27" s="6">
        <v>100757</v>
      </c>
      <c r="D27" s="43"/>
      <c r="E27" s="43">
        <v>322.99</v>
      </c>
      <c r="F27" s="43">
        <f t="shared" si="1"/>
        <v>12811.900000000001</v>
      </c>
      <c r="G27" s="43"/>
      <c r="H27" s="43"/>
      <c r="I27" s="101"/>
      <c r="J27" s="102"/>
      <c r="K27" s="89"/>
      <c r="L27" s="43"/>
      <c r="M27" s="43"/>
      <c r="N27" s="43"/>
      <c r="O27" s="43"/>
      <c r="P27" s="43"/>
      <c r="Q27" s="43"/>
      <c r="R27" s="43">
        <f>E27</f>
        <v>322.99</v>
      </c>
      <c r="S27" s="43"/>
      <c r="T27" s="88">
        <f t="shared" si="2"/>
        <v>322.99</v>
      </c>
      <c r="U27" s="180" t="s">
        <v>276</v>
      </c>
      <c r="V27" s="130"/>
      <c r="W27" s="181"/>
      <c r="X27" s="181"/>
      <c r="Y27" s="181"/>
      <c r="Z27" s="181"/>
      <c r="AB27" s="181"/>
      <c r="AC27" s="181"/>
    </row>
    <row r="28" spans="1:31" s="103" customFormat="1" ht="14" customHeight="1" x14ac:dyDescent="0.15">
      <c r="A28" s="273">
        <v>44075</v>
      </c>
      <c r="B28" s="16" t="s">
        <v>252</v>
      </c>
      <c r="C28" s="6" t="s">
        <v>253</v>
      </c>
      <c r="D28" s="43"/>
      <c r="E28" s="43">
        <f>51.47+33.92</f>
        <v>85.39</v>
      </c>
      <c r="F28" s="43">
        <f t="shared" si="1"/>
        <v>12726.510000000002</v>
      </c>
      <c r="G28" s="176"/>
      <c r="H28" s="176"/>
      <c r="I28" s="177"/>
      <c r="J28" s="178"/>
      <c r="K28" s="179"/>
      <c r="L28" s="176"/>
      <c r="M28" s="43"/>
      <c r="N28" s="176"/>
      <c r="O28" s="176"/>
      <c r="P28" s="176"/>
      <c r="Q28" s="176"/>
      <c r="R28" s="176">
        <f>E28-S28</f>
        <v>81.319999999999993</v>
      </c>
      <c r="S28" s="176">
        <f>2.45+1.62</f>
        <v>4.07</v>
      </c>
      <c r="T28" s="88">
        <f t="shared" si="2"/>
        <v>85.389999999999986</v>
      </c>
      <c r="U28" s="180" t="s">
        <v>319</v>
      </c>
      <c r="V28" s="6"/>
      <c r="W28" s="6"/>
      <c r="X28" s="181"/>
      <c r="Y28" s="184"/>
      <c r="Z28" s="6"/>
      <c r="AA28" s="184"/>
      <c r="AB28" s="6"/>
      <c r="AC28" s="6"/>
      <c r="AD28" s="6"/>
      <c r="AE28" s="6"/>
    </row>
    <row r="29" spans="1:31" s="6" customFormat="1" ht="14" customHeight="1" x14ac:dyDescent="0.15">
      <c r="A29" s="55">
        <v>44091</v>
      </c>
      <c r="B29" s="16" t="s">
        <v>247</v>
      </c>
      <c r="C29" s="6">
        <v>100762</v>
      </c>
      <c r="D29" s="43"/>
      <c r="E29" s="43">
        <v>79.989999999999995</v>
      </c>
      <c r="F29" s="43">
        <f t="shared" si="1"/>
        <v>12646.520000000002</v>
      </c>
      <c r="G29" s="176"/>
      <c r="H29" s="176"/>
      <c r="I29" s="177"/>
      <c r="J29" s="178"/>
      <c r="K29" s="179"/>
      <c r="L29" s="176"/>
      <c r="M29" s="176"/>
      <c r="N29" s="43"/>
      <c r="O29" s="176">
        <f>E29-S29</f>
        <v>66.658333333333331</v>
      </c>
      <c r="P29" s="176"/>
      <c r="Q29" s="176"/>
      <c r="S29" s="176">
        <f>(79.99/1.2)*0.2</f>
        <v>13.331666666666667</v>
      </c>
      <c r="T29" s="88">
        <f t="shared" si="2"/>
        <v>79.989999999999995</v>
      </c>
      <c r="U29" s="269" t="s">
        <v>278</v>
      </c>
      <c r="V29" s="268"/>
      <c r="W29" s="182"/>
      <c r="X29" s="181"/>
      <c r="Y29" s="184"/>
      <c r="AA29" s="184"/>
    </row>
    <row r="30" spans="1:31" s="103" customFormat="1" ht="14" customHeight="1" x14ac:dyDescent="0.15">
      <c r="A30" s="55">
        <v>44091</v>
      </c>
      <c r="B30" s="90" t="s">
        <v>30</v>
      </c>
      <c r="C30" s="6" t="s">
        <v>50</v>
      </c>
      <c r="D30" s="43"/>
      <c r="E30" s="43">
        <v>35</v>
      </c>
      <c r="F30" s="43">
        <f t="shared" si="1"/>
        <v>12611.520000000002</v>
      </c>
      <c r="G30" s="176"/>
      <c r="H30" s="176"/>
      <c r="I30" s="177"/>
      <c r="J30" s="178"/>
      <c r="K30" s="176"/>
      <c r="L30" s="176"/>
      <c r="M30" s="176"/>
      <c r="N30" s="176"/>
      <c r="O30" s="176">
        <f>E30</f>
        <v>35</v>
      </c>
      <c r="P30" s="176"/>
      <c r="Q30" s="176"/>
      <c r="R30" s="227"/>
      <c r="S30" s="176"/>
      <c r="T30" s="88">
        <f t="shared" si="2"/>
        <v>35</v>
      </c>
      <c r="U30" s="180" t="s">
        <v>277</v>
      </c>
      <c r="V30" s="6" t="s">
        <v>43</v>
      </c>
      <c r="W30" s="181"/>
      <c r="X30" s="181"/>
      <c r="Y30" s="6"/>
      <c r="Z30" s="6"/>
      <c r="AA30" s="6"/>
      <c r="AB30" s="6"/>
      <c r="AC30" s="6"/>
      <c r="AD30" s="6"/>
      <c r="AE30" s="6"/>
    </row>
    <row r="31" spans="1:31" s="6" customFormat="1" ht="14" customHeight="1" x14ac:dyDescent="0.15">
      <c r="A31" s="55">
        <v>44099</v>
      </c>
      <c r="B31" s="16" t="s">
        <v>392</v>
      </c>
      <c r="C31" s="6" t="s">
        <v>20</v>
      </c>
      <c r="D31" s="43">
        <v>2625</v>
      </c>
      <c r="E31" s="43"/>
      <c r="F31" s="43">
        <f t="shared" si="1"/>
        <v>15236.520000000002</v>
      </c>
      <c r="G31" s="176">
        <f>-D31</f>
        <v>-2625</v>
      </c>
      <c r="H31" s="176"/>
      <c r="I31" s="177"/>
      <c r="J31" s="178"/>
      <c r="K31" s="179"/>
      <c r="L31" s="176"/>
      <c r="M31" s="176"/>
      <c r="N31" s="176"/>
      <c r="O31" s="176"/>
      <c r="P31" s="176"/>
      <c r="Q31" s="176"/>
      <c r="R31" s="176"/>
      <c r="S31" s="176"/>
      <c r="T31" s="88">
        <f t="shared" si="2"/>
        <v>-2625</v>
      </c>
      <c r="U31" s="180" t="s">
        <v>317</v>
      </c>
      <c r="W31" s="182"/>
      <c r="X31" s="181"/>
      <c r="Y31" s="184"/>
      <c r="AA31" s="184"/>
    </row>
    <row r="32" spans="1:31" s="13" customFormat="1" ht="14" customHeight="1" x14ac:dyDescent="0.15">
      <c r="A32" s="55">
        <v>44102</v>
      </c>
      <c r="B32" s="16" t="s">
        <v>252</v>
      </c>
      <c r="C32" s="6" t="s">
        <v>253</v>
      </c>
      <c r="D32" s="43"/>
      <c r="E32" s="43">
        <f>5.74+33.59</f>
        <v>39.330000000000005</v>
      </c>
      <c r="F32" s="43">
        <f t="shared" si="1"/>
        <v>15197.190000000002</v>
      </c>
      <c r="G32" s="43"/>
      <c r="H32" s="176"/>
      <c r="I32" s="177"/>
      <c r="J32" s="178"/>
      <c r="K32" s="179"/>
      <c r="L32" s="176"/>
      <c r="M32" s="176"/>
      <c r="N32" s="176"/>
      <c r="O32" s="176"/>
      <c r="P32" s="176"/>
      <c r="Q32" s="176"/>
      <c r="R32" s="176">
        <f>E32-S32</f>
        <v>37.460000000000008</v>
      </c>
      <c r="S32" s="176">
        <f>0.27+1.6</f>
        <v>1.87</v>
      </c>
      <c r="T32" s="88">
        <f t="shared" si="2"/>
        <v>39.330000000000005</v>
      </c>
      <c r="U32" s="180" t="s">
        <v>320</v>
      </c>
      <c r="V32" s="104"/>
      <c r="W32" s="181"/>
      <c r="X32" s="181"/>
      <c r="Y32" s="43"/>
      <c r="Z32" s="6"/>
      <c r="AA32" s="6"/>
      <c r="AB32" s="6"/>
      <c r="AC32" s="6"/>
      <c r="AD32" s="6"/>
      <c r="AE32" s="6"/>
    </row>
    <row r="33" spans="1:31" s="6" customFormat="1" ht="14" customHeight="1" x14ac:dyDescent="0.15">
      <c r="A33" s="55">
        <v>44119</v>
      </c>
      <c r="B33" s="90" t="s">
        <v>248</v>
      </c>
      <c r="C33" s="6">
        <v>100758</v>
      </c>
      <c r="D33" s="43"/>
      <c r="E33" s="43">
        <v>69</v>
      </c>
      <c r="F33" s="43">
        <f t="shared" si="1"/>
        <v>15128.190000000002</v>
      </c>
      <c r="G33" s="176"/>
      <c r="H33" s="176"/>
      <c r="I33" s="177"/>
      <c r="J33" s="178"/>
      <c r="K33" s="179"/>
      <c r="L33" s="176"/>
      <c r="M33" s="176"/>
      <c r="N33" s="176"/>
      <c r="O33" s="176"/>
      <c r="P33" s="176"/>
      <c r="Q33" s="176">
        <f>E33</f>
        <v>69</v>
      </c>
      <c r="R33" s="176"/>
      <c r="S33" s="176"/>
      <c r="T33" s="88">
        <f t="shared" si="2"/>
        <v>69</v>
      </c>
      <c r="U33" s="180" t="s">
        <v>279</v>
      </c>
      <c r="W33" s="181"/>
      <c r="X33" s="181"/>
    </row>
    <row r="34" spans="1:31" s="6" customFormat="1" ht="14" customHeight="1" x14ac:dyDescent="0.15">
      <c r="A34" s="55">
        <v>44137</v>
      </c>
      <c r="B34" s="16" t="s">
        <v>252</v>
      </c>
      <c r="C34" s="6" t="s">
        <v>253</v>
      </c>
      <c r="D34" s="43"/>
      <c r="E34" s="43">
        <f>5.55+34.86</f>
        <v>40.409999999999997</v>
      </c>
      <c r="F34" s="43">
        <f t="shared" si="1"/>
        <v>15087.780000000002</v>
      </c>
      <c r="G34" s="43"/>
      <c r="H34" s="176"/>
      <c r="I34" s="177"/>
      <c r="J34" s="178"/>
      <c r="K34" s="179"/>
      <c r="L34" s="176"/>
      <c r="M34" s="176"/>
      <c r="N34" s="176"/>
      <c r="O34" s="176"/>
      <c r="P34" s="176"/>
      <c r="Q34" s="176"/>
      <c r="R34" s="176">
        <f>E34-S34</f>
        <v>38.489999999999995</v>
      </c>
      <c r="S34" s="176">
        <f>0.26+1.66</f>
        <v>1.92</v>
      </c>
      <c r="T34" s="88">
        <f t="shared" si="2"/>
        <v>40.409999999999997</v>
      </c>
      <c r="U34" s="180" t="s">
        <v>321</v>
      </c>
      <c r="V34" s="104"/>
      <c r="W34" s="181"/>
      <c r="X34" s="181"/>
      <c r="Y34" s="43"/>
    </row>
    <row r="35" spans="1:31" s="6" customFormat="1" ht="14" customHeight="1" x14ac:dyDescent="0.15">
      <c r="A35" s="55">
        <v>44154</v>
      </c>
      <c r="B35" s="90" t="s">
        <v>272</v>
      </c>
      <c r="C35" s="6" t="s">
        <v>20</v>
      </c>
      <c r="D35" s="43">
        <v>100</v>
      </c>
      <c r="E35" s="43"/>
      <c r="F35" s="43">
        <f t="shared" si="1"/>
        <v>15187.780000000002</v>
      </c>
      <c r="H35" s="176">
        <v>-100</v>
      </c>
      <c r="I35" s="177"/>
      <c r="J35" s="178"/>
      <c r="K35" s="179"/>
      <c r="L35" s="176"/>
      <c r="M35" s="176"/>
      <c r="N35" s="176"/>
      <c r="O35" s="176"/>
      <c r="P35" s="176"/>
      <c r="Q35" s="176"/>
      <c r="R35" s="176"/>
      <c r="S35" s="176"/>
      <c r="T35" s="88">
        <f t="shared" si="2"/>
        <v>-100</v>
      </c>
      <c r="U35" s="180" t="s">
        <v>280</v>
      </c>
      <c r="W35" s="181"/>
      <c r="X35" s="181"/>
    </row>
    <row r="36" spans="1:31" s="6" customFormat="1" ht="14" customHeight="1" x14ac:dyDescent="0.15">
      <c r="A36" s="55">
        <v>44165</v>
      </c>
      <c r="B36" s="16" t="s">
        <v>252</v>
      </c>
      <c r="C36" s="6" t="s">
        <v>253</v>
      </c>
      <c r="D36" s="43"/>
      <c r="E36" s="43">
        <f>5.75+40.34</f>
        <v>46.09</v>
      </c>
      <c r="F36" s="43">
        <f t="shared" si="1"/>
        <v>15141.690000000002</v>
      </c>
      <c r="G36" s="43"/>
      <c r="H36" s="176"/>
      <c r="I36" s="177"/>
      <c r="J36" s="178"/>
      <c r="K36" s="179"/>
      <c r="L36" s="176"/>
      <c r="M36" s="176"/>
      <c r="N36" s="176"/>
      <c r="O36" s="176"/>
      <c r="P36" s="176"/>
      <c r="Q36" s="176"/>
      <c r="R36" s="176">
        <f>E36-S36</f>
        <v>43.900000000000006</v>
      </c>
      <c r="S36" s="176">
        <f>0.27+1.92</f>
        <v>2.19</v>
      </c>
      <c r="T36" s="88">
        <f t="shared" si="2"/>
        <v>46.09</v>
      </c>
      <c r="U36" s="180" t="s">
        <v>322</v>
      </c>
      <c r="V36" s="104"/>
      <c r="W36" s="181"/>
      <c r="X36" s="181"/>
      <c r="Y36" s="43"/>
    </row>
    <row r="37" spans="1:31" s="6" customFormat="1" ht="14" customHeight="1" x14ac:dyDescent="0.15">
      <c r="A37" s="55">
        <v>44200</v>
      </c>
      <c r="B37" s="16" t="s">
        <v>252</v>
      </c>
      <c r="C37" s="6" t="s">
        <v>253</v>
      </c>
      <c r="D37" s="43"/>
      <c r="E37" s="43">
        <f>5.63+42.84</f>
        <v>48.470000000000006</v>
      </c>
      <c r="F37" s="43">
        <f t="shared" si="1"/>
        <v>15093.220000000003</v>
      </c>
      <c r="G37" s="43"/>
      <c r="H37" s="176"/>
      <c r="I37" s="177"/>
      <c r="J37" s="178"/>
      <c r="K37" s="179"/>
      <c r="L37" s="176"/>
      <c r="M37" s="176"/>
      <c r="N37" s="176"/>
      <c r="O37" s="176"/>
      <c r="P37" s="176"/>
      <c r="Q37" s="176"/>
      <c r="R37" s="176">
        <f>E37-S37</f>
        <v>46.160000000000004</v>
      </c>
      <c r="S37" s="176">
        <f>0.27+2.04</f>
        <v>2.31</v>
      </c>
      <c r="T37" s="88">
        <f t="shared" si="2"/>
        <v>48.470000000000006</v>
      </c>
      <c r="U37" s="180" t="s">
        <v>323</v>
      </c>
      <c r="V37" s="104"/>
      <c r="W37" s="181"/>
      <c r="X37" s="181"/>
      <c r="Y37" s="43"/>
    </row>
    <row r="38" spans="1:31" s="6" customFormat="1" ht="14" customHeight="1" x14ac:dyDescent="0.15">
      <c r="A38" s="55">
        <v>44217</v>
      </c>
      <c r="B38" s="90" t="s">
        <v>249</v>
      </c>
      <c r="C38" s="6">
        <v>100759</v>
      </c>
      <c r="D38" s="43"/>
      <c r="E38" s="43">
        <v>69</v>
      </c>
      <c r="F38" s="43">
        <f t="shared" si="1"/>
        <v>15024.220000000003</v>
      </c>
      <c r="G38" s="176"/>
      <c r="H38" s="176"/>
      <c r="I38" s="177"/>
      <c r="J38" s="178"/>
      <c r="K38" s="179"/>
      <c r="L38" s="176"/>
      <c r="M38" s="176"/>
      <c r="N38" s="176"/>
      <c r="O38" s="176"/>
      <c r="P38" s="176"/>
      <c r="Q38" s="176">
        <f>E38</f>
        <v>69</v>
      </c>
      <c r="R38" s="176"/>
      <c r="S38" s="176"/>
      <c r="T38" s="88">
        <f t="shared" si="2"/>
        <v>69</v>
      </c>
      <c r="U38" s="180" t="s">
        <v>281</v>
      </c>
      <c r="V38" s="104"/>
      <c r="W38" s="181"/>
      <c r="X38" s="181"/>
    </row>
    <row r="39" spans="1:31" s="6" customFormat="1" ht="14" customHeight="1" x14ac:dyDescent="0.15">
      <c r="A39" s="55">
        <v>44217</v>
      </c>
      <c r="B39" s="90" t="s">
        <v>273</v>
      </c>
      <c r="C39" s="6">
        <v>100760</v>
      </c>
      <c r="D39" s="43"/>
      <c r="E39" s="43">
        <v>30.24</v>
      </c>
      <c r="F39" s="43">
        <f t="shared" si="1"/>
        <v>14993.980000000003</v>
      </c>
      <c r="G39" s="43"/>
      <c r="H39" s="43"/>
      <c r="I39" s="101"/>
      <c r="J39" s="102"/>
      <c r="K39" s="89"/>
      <c r="L39" s="43"/>
      <c r="M39" s="43"/>
      <c r="N39" s="43"/>
      <c r="O39" s="43"/>
      <c r="P39" s="43"/>
      <c r="Q39" s="43"/>
      <c r="R39" s="43">
        <f>E39</f>
        <v>30.24</v>
      </c>
      <c r="S39" s="43"/>
      <c r="T39" s="88">
        <f t="shared" si="2"/>
        <v>30.24</v>
      </c>
      <c r="U39" s="180" t="s">
        <v>282</v>
      </c>
      <c r="V39" s="181"/>
      <c r="W39" s="181"/>
      <c r="X39" s="181"/>
      <c r="Y39" s="181"/>
      <c r="Z39" s="181"/>
      <c r="AB39" s="181"/>
      <c r="AC39" s="181"/>
    </row>
    <row r="40" spans="1:31" s="6" customFormat="1" ht="14" customHeight="1" x14ac:dyDescent="0.15">
      <c r="A40" s="55">
        <v>44217</v>
      </c>
      <c r="B40" s="90" t="s">
        <v>44</v>
      </c>
      <c r="C40" s="6">
        <v>100763</v>
      </c>
      <c r="D40" s="43"/>
      <c r="E40" s="43">
        <v>125</v>
      </c>
      <c r="F40" s="43">
        <f t="shared" si="1"/>
        <v>14868.980000000003</v>
      </c>
      <c r="G40" s="176"/>
      <c r="H40" s="176"/>
      <c r="I40" s="177"/>
      <c r="J40" s="178"/>
      <c r="K40" s="179"/>
      <c r="L40" s="176"/>
      <c r="M40" s="176"/>
      <c r="N40" s="176"/>
      <c r="O40" s="176"/>
      <c r="P40" s="176"/>
      <c r="Q40" s="176"/>
      <c r="R40" s="176">
        <f>E40</f>
        <v>125</v>
      </c>
      <c r="S40" s="176"/>
      <c r="T40" s="88">
        <f t="shared" si="2"/>
        <v>125</v>
      </c>
      <c r="U40" s="180" t="s">
        <v>156</v>
      </c>
      <c r="V40" s="104"/>
      <c r="W40" s="181"/>
      <c r="X40" s="181"/>
    </row>
    <row r="41" spans="1:31" s="103" customFormat="1" ht="14" customHeight="1" x14ac:dyDescent="0.15">
      <c r="A41" s="55">
        <v>44217</v>
      </c>
      <c r="B41" s="90" t="s">
        <v>251</v>
      </c>
      <c r="C41" s="6">
        <v>100764</v>
      </c>
      <c r="D41" s="43"/>
      <c r="E41" s="43">
        <v>419</v>
      </c>
      <c r="F41" s="43">
        <f t="shared" si="1"/>
        <v>14449.980000000003</v>
      </c>
      <c r="G41" s="176"/>
      <c r="H41" s="176"/>
      <c r="I41" s="177"/>
      <c r="J41" s="178"/>
      <c r="K41" s="179">
        <f>E41</f>
        <v>419</v>
      </c>
      <c r="L41" s="176"/>
      <c r="M41" s="176"/>
      <c r="N41" s="176"/>
      <c r="O41" s="176"/>
      <c r="P41" s="176"/>
      <c r="Q41" s="176"/>
      <c r="R41" s="176"/>
      <c r="S41" s="176"/>
      <c r="T41" s="88">
        <f t="shared" si="2"/>
        <v>419</v>
      </c>
      <c r="U41" s="180" t="s">
        <v>283</v>
      </c>
      <c r="V41" s="6"/>
      <c r="W41" s="6"/>
      <c r="X41" s="181"/>
      <c r="Y41" s="184"/>
      <c r="Z41" s="6"/>
      <c r="AA41" s="184"/>
      <c r="AB41" s="6"/>
      <c r="AC41" s="6"/>
      <c r="AD41" s="6"/>
      <c r="AE41" s="6"/>
    </row>
    <row r="42" spans="1:31" s="103" customFormat="1" ht="14" customHeight="1" x14ac:dyDescent="0.15">
      <c r="A42" s="55">
        <v>44217</v>
      </c>
      <c r="B42" s="90" t="s">
        <v>274</v>
      </c>
      <c r="C42" s="6">
        <v>100765</v>
      </c>
      <c r="D42" s="43"/>
      <c r="E42" s="43">
        <v>1746.5</v>
      </c>
      <c r="F42" s="43">
        <f t="shared" si="1"/>
        <v>12703.480000000003</v>
      </c>
      <c r="G42" s="43"/>
      <c r="H42" s="43"/>
      <c r="I42" s="101"/>
      <c r="J42" s="102"/>
      <c r="K42" s="89">
        <f>E42-70</f>
        <v>1676.5</v>
      </c>
      <c r="L42" s="43"/>
      <c r="M42" s="43"/>
      <c r="N42" s="43">
        <f>E42-K42</f>
        <v>70</v>
      </c>
      <c r="O42" s="43"/>
      <c r="P42" s="43"/>
      <c r="Q42" s="43"/>
      <c r="R42" s="43"/>
      <c r="S42" s="43"/>
      <c r="T42" s="88">
        <f t="shared" si="2"/>
        <v>1746.5</v>
      </c>
      <c r="U42" s="180" t="s">
        <v>283</v>
      </c>
      <c r="V42" s="181"/>
      <c r="W42" s="181"/>
      <c r="X42" s="181"/>
      <c r="Y42" s="181"/>
      <c r="Z42" s="181"/>
      <c r="AA42" s="6"/>
      <c r="AB42" s="181"/>
      <c r="AC42" s="181"/>
      <c r="AD42" s="6"/>
      <c r="AE42" s="6"/>
    </row>
    <row r="43" spans="1:31" s="266" customFormat="1" ht="14" customHeight="1" x14ac:dyDescent="0.15">
      <c r="A43" s="55">
        <v>44217</v>
      </c>
      <c r="B43" s="90" t="s">
        <v>45</v>
      </c>
      <c r="C43" s="6" t="s">
        <v>11</v>
      </c>
      <c r="D43" s="43">
        <v>10</v>
      </c>
      <c r="E43" s="43"/>
      <c r="F43" s="43">
        <f t="shared" si="1"/>
        <v>12713.480000000003</v>
      </c>
      <c r="G43" s="176"/>
      <c r="H43" s="176">
        <f>-D43</f>
        <v>-10</v>
      </c>
      <c r="I43" s="177"/>
      <c r="J43" s="178"/>
      <c r="K43" s="179"/>
      <c r="L43" s="176"/>
      <c r="M43" s="176"/>
      <c r="N43" s="176"/>
      <c r="O43" s="176"/>
      <c r="P43" s="176"/>
      <c r="Q43" s="176"/>
      <c r="R43" s="176"/>
      <c r="S43" s="176"/>
      <c r="T43" s="88">
        <f t="shared" si="2"/>
        <v>-10</v>
      </c>
      <c r="U43" s="180" t="s">
        <v>157</v>
      </c>
      <c r="V43" s="104"/>
      <c r="W43" s="181"/>
      <c r="X43" s="181"/>
      <c r="Y43" s="6"/>
      <c r="Z43" s="6"/>
      <c r="AA43" s="6"/>
      <c r="AB43" s="6"/>
      <c r="AC43" s="6"/>
      <c r="AD43" s="6"/>
      <c r="AE43" s="6"/>
    </row>
    <row r="44" spans="1:31" s="6" customFormat="1" ht="14" customHeight="1" x14ac:dyDescent="0.15">
      <c r="A44" s="55">
        <v>44228</v>
      </c>
      <c r="B44" s="16" t="s">
        <v>252</v>
      </c>
      <c r="C44" s="6" t="s">
        <v>253</v>
      </c>
      <c r="D44" s="43"/>
      <c r="E44" s="43">
        <f>5.84+48.53</f>
        <v>54.370000000000005</v>
      </c>
      <c r="F44" s="43">
        <f t="shared" si="1"/>
        <v>12659.110000000002</v>
      </c>
      <c r="G44" s="43"/>
      <c r="H44" s="43"/>
      <c r="I44" s="177"/>
      <c r="J44" s="178"/>
      <c r="K44" s="179"/>
      <c r="L44" s="176"/>
      <c r="M44" s="176"/>
      <c r="N44" s="176"/>
      <c r="O44" s="176"/>
      <c r="P44" s="176"/>
      <c r="Q44" s="176"/>
      <c r="R44" s="176">
        <f>E44-S44</f>
        <v>51.78</v>
      </c>
      <c r="S44" s="176">
        <f>0.28+2.31</f>
        <v>2.59</v>
      </c>
      <c r="T44" s="88">
        <f t="shared" si="2"/>
        <v>54.370000000000005</v>
      </c>
      <c r="U44" s="397" t="s">
        <v>398</v>
      </c>
      <c r="V44" s="270"/>
      <c r="W44" s="181"/>
      <c r="X44" s="181"/>
      <c r="Y44" s="43"/>
    </row>
    <row r="45" spans="1:31" s="6" customFormat="1" ht="14" customHeight="1" x14ac:dyDescent="0.15">
      <c r="A45" s="55">
        <v>44245</v>
      </c>
      <c r="B45" s="16" t="s">
        <v>324</v>
      </c>
      <c r="C45" s="6">
        <v>100766</v>
      </c>
      <c r="D45" s="43"/>
      <c r="E45" s="43">
        <v>103</v>
      </c>
      <c r="F45" s="43">
        <f t="shared" si="1"/>
        <v>12556.110000000002</v>
      </c>
      <c r="G45" s="43"/>
      <c r="H45" s="43"/>
      <c r="I45" s="177"/>
      <c r="J45" s="178"/>
      <c r="K45" s="179"/>
      <c r="L45" s="176"/>
      <c r="M45" s="176"/>
      <c r="N45" s="176"/>
      <c r="O45" s="176">
        <v>103</v>
      </c>
      <c r="P45" s="176"/>
      <c r="Q45" s="176"/>
      <c r="R45" s="176"/>
      <c r="S45" s="176"/>
      <c r="T45" s="88">
        <f t="shared" si="2"/>
        <v>103</v>
      </c>
      <c r="U45" s="180" t="s">
        <v>325</v>
      </c>
      <c r="V45" s="104"/>
      <c r="W45" s="181"/>
      <c r="X45" s="181"/>
      <c r="Y45" s="43"/>
    </row>
    <row r="46" spans="1:31" s="6" customFormat="1" ht="14" customHeight="1" x14ac:dyDescent="0.15">
      <c r="A46" s="55">
        <v>44256</v>
      </c>
      <c r="B46" s="16" t="s">
        <v>252</v>
      </c>
      <c r="C46" s="6" t="s">
        <v>253</v>
      </c>
      <c r="D46" s="43"/>
      <c r="E46" s="43">
        <f>48.69+5.89</f>
        <v>54.58</v>
      </c>
      <c r="F46" s="43">
        <f t="shared" si="1"/>
        <v>12501.530000000002</v>
      </c>
      <c r="G46" s="43"/>
      <c r="H46" s="43"/>
      <c r="I46" s="177"/>
      <c r="J46" s="178"/>
      <c r="K46" s="179"/>
      <c r="L46" s="176"/>
      <c r="M46" s="176"/>
      <c r="N46" s="176"/>
      <c r="O46" s="176"/>
      <c r="P46" s="176"/>
      <c r="Q46" s="176"/>
      <c r="R46" s="176">
        <f>E46-S46</f>
        <v>51.98</v>
      </c>
      <c r="S46" s="176">
        <f>2.32+0.28</f>
        <v>2.5999999999999996</v>
      </c>
      <c r="T46" s="88">
        <f t="shared" si="2"/>
        <v>54.58</v>
      </c>
      <c r="U46" s="397" t="s">
        <v>398</v>
      </c>
      <c r="V46" s="270"/>
      <c r="W46" s="181"/>
      <c r="X46" s="181"/>
      <c r="Y46" s="43"/>
    </row>
    <row r="47" spans="1:31" s="13" customFormat="1" ht="14" customHeight="1" x14ac:dyDescent="0.15">
      <c r="A47" s="55">
        <v>44273</v>
      </c>
      <c r="B47" s="90" t="s">
        <v>330</v>
      </c>
      <c r="C47" s="6">
        <v>100767</v>
      </c>
      <c r="D47" s="43"/>
      <c r="E47" s="43">
        <v>69</v>
      </c>
      <c r="F47" s="43">
        <f t="shared" si="1"/>
        <v>12432.530000000002</v>
      </c>
      <c r="G47" s="176"/>
      <c r="H47" s="176"/>
      <c r="I47" s="177"/>
      <c r="J47" s="178"/>
      <c r="K47" s="179"/>
      <c r="L47" s="176"/>
      <c r="M47" s="176"/>
      <c r="N47" s="176"/>
      <c r="O47" s="176"/>
      <c r="P47" s="176"/>
      <c r="Q47" s="176">
        <v>69</v>
      </c>
      <c r="R47" s="176"/>
      <c r="S47" s="176"/>
      <c r="T47" s="88">
        <f t="shared" si="2"/>
        <v>69</v>
      </c>
      <c r="U47" s="180" t="s">
        <v>326</v>
      </c>
      <c r="V47" s="6"/>
      <c r="W47" s="181"/>
      <c r="X47" s="181"/>
      <c r="Y47" s="6"/>
      <c r="Z47" s="6"/>
      <c r="AA47" s="6"/>
      <c r="AB47" s="6"/>
      <c r="AC47" s="6"/>
      <c r="AD47" s="6"/>
      <c r="AE47" s="6"/>
    </row>
    <row r="48" spans="1:31" s="6" customFormat="1" ht="14" customHeight="1" x14ac:dyDescent="0.15">
      <c r="A48" s="55">
        <v>44273</v>
      </c>
      <c r="B48" s="16" t="s">
        <v>334</v>
      </c>
      <c r="C48" s="6">
        <v>100768</v>
      </c>
      <c r="D48" s="43"/>
      <c r="E48" s="43">
        <v>629.63</v>
      </c>
      <c r="F48" s="43">
        <f t="shared" si="1"/>
        <v>11802.900000000003</v>
      </c>
      <c r="G48" s="43"/>
      <c r="H48" s="43"/>
      <c r="I48" s="101"/>
      <c r="J48" s="102"/>
      <c r="K48" s="89">
        <f>616.17-M48</f>
        <v>444.36999999999995</v>
      </c>
      <c r="L48" s="43">
        <v>8.1</v>
      </c>
      <c r="M48" s="43">
        <v>171.8</v>
      </c>
      <c r="N48" s="43">
        <v>5.36</v>
      </c>
      <c r="O48" s="43"/>
      <c r="P48" s="43"/>
      <c r="Q48" s="43"/>
      <c r="R48" s="43"/>
      <c r="S48" s="43"/>
      <c r="T48" s="88">
        <f t="shared" si="2"/>
        <v>629.63</v>
      </c>
      <c r="U48" s="180" t="s">
        <v>327</v>
      </c>
      <c r="V48" s="181"/>
      <c r="W48" s="181"/>
      <c r="X48" s="181"/>
      <c r="Y48" s="181"/>
      <c r="Z48" s="181"/>
      <c r="AB48" s="181"/>
      <c r="AC48" s="181"/>
    </row>
    <row r="49" spans="1:31" s="6" customFormat="1" ht="14" customHeight="1" x14ac:dyDescent="0.15">
      <c r="A49" s="55">
        <v>44273</v>
      </c>
      <c r="B49" s="90" t="s">
        <v>251</v>
      </c>
      <c r="C49" s="6">
        <v>100769</v>
      </c>
      <c r="D49" s="43"/>
      <c r="E49" s="43">
        <v>154</v>
      </c>
      <c r="F49" s="43">
        <f t="shared" si="1"/>
        <v>11648.900000000003</v>
      </c>
      <c r="G49" s="176"/>
      <c r="H49" s="176"/>
      <c r="I49" s="177"/>
      <c r="J49" s="178"/>
      <c r="K49" s="179">
        <v>154</v>
      </c>
      <c r="L49" s="176"/>
      <c r="M49" s="176"/>
      <c r="N49" s="176"/>
      <c r="O49" s="176"/>
      <c r="P49" s="176"/>
      <c r="Q49" s="176"/>
      <c r="R49" s="176"/>
      <c r="S49" s="176"/>
      <c r="T49" s="88">
        <f t="shared" si="2"/>
        <v>154</v>
      </c>
      <c r="U49" s="180" t="s">
        <v>327</v>
      </c>
      <c r="W49" s="181"/>
      <c r="X49" s="181"/>
    </row>
    <row r="50" spans="1:31" s="6" customFormat="1" ht="14" customHeight="1" x14ac:dyDescent="0.15">
      <c r="A50" s="55">
        <v>44282</v>
      </c>
      <c r="B50" s="16" t="s">
        <v>252</v>
      </c>
      <c r="C50" s="6" t="s">
        <v>253</v>
      </c>
      <c r="D50" s="39"/>
      <c r="E50" s="43">
        <f>5.3+41.61</f>
        <v>46.91</v>
      </c>
      <c r="F50" s="43">
        <f t="shared" si="1"/>
        <v>11601.990000000003</v>
      </c>
      <c r="G50" s="39"/>
      <c r="H50" s="39"/>
      <c r="I50" s="95"/>
      <c r="J50" s="41"/>
      <c r="K50" s="42"/>
      <c r="L50" s="94"/>
      <c r="M50" s="94"/>
      <c r="N50" s="94"/>
      <c r="O50" s="94"/>
      <c r="P50" s="94"/>
      <c r="Q50" s="94"/>
      <c r="R50" s="176">
        <f>E50-S50</f>
        <v>44.68</v>
      </c>
      <c r="S50" s="94">
        <f>0.25+1.98</f>
        <v>2.23</v>
      </c>
      <c r="T50" s="88">
        <f>SUM(G50:S50)</f>
        <v>46.91</v>
      </c>
      <c r="U50" s="397" t="s">
        <v>398</v>
      </c>
      <c r="V50" s="270"/>
      <c r="W50" s="18"/>
      <c r="X50" s="18"/>
      <c r="Y50" s="39"/>
      <c r="Z50" s="13"/>
      <c r="AA50" s="13"/>
      <c r="AB50" s="13"/>
      <c r="AC50" s="13"/>
      <c r="AD50" s="13"/>
      <c r="AE50" s="13"/>
    </row>
    <row r="51" spans="1:31" s="107" customFormat="1" x14ac:dyDescent="0.15">
      <c r="A51" s="105">
        <v>44286</v>
      </c>
      <c r="B51" s="90"/>
      <c r="D51" s="108"/>
      <c r="E51" s="108"/>
      <c r="F51" s="186">
        <f t="shared" si="1"/>
        <v>11601.990000000003</v>
      </c>
      <c r="G51" s="108"/>
      <c r="H51" s="108"/>
      <c r="I51" s="115"/>
      <c r="J51" s="110"/>
      <c r="K51" s="111"/>
      <c r="L51" s="108"/>
      <c r="M51" s="108"/>
      <c r="N51" s="108"/>
      <c r="O51" s="108"/>
      <c r="P51" s="108"/>
      <c r="Q51" s="108"/>
      <c r="R51" s="108"/>
      <c r="S51" s="108"/>
      <c r="T51" s="88"/>
      <c r="U51" s="270"/>
      <c r="V51" s="130"/>
      <c r="W51" s="112"/>
      <c r="X51" s="112"/>
      <c r="Y51" s="112"/>
      <c r="Z51" s="112"/>
      <c r="AB51" s="112"/>
      <c r="AC51" s="112"/>
    </row>
    <row r="52" spans="1:31" ht="5" customHeight="1" x14ac:dyDescent="0.15"/>
    <row r="53" spans="1:31" ht="5" customHeight="1" x14ac:dyDescent="0.15"/>
    <row r="54" spans="1:31" s="107" customFormat="1" ht="5" customHeight="1" x14ac:dyDescent="0.15">
      <c r="A54" s="113"/>
      <c r="B54" s="106"/>
      <c r="D54" s="108"/>
      <c r="E54" s="108"/>
      <c r="F54" s="108"/>
      <c r="G54" s="108"/>
      <c r="H54" s="108"/>
      <c r="I54" s="109"/>
      <c r="J54" s="110"/>
      <c r="K54" s="111"/>
      <c r="L54" s="108"/>
      <c r="M54" s="108"/>
      <c r="N54" s="108"/>
      <c r="O54" s="108"/>
      <c r="P54" s="108"/>
      <c r="Q54" s="108"/>
      <c r="R54" s="108"/>
      <c r="S54" s="108"/>
      <c r="T54" s="88"/>
      <c r="U54" s="150"/>
      <c r="V54" s="130"/>
      <c r="W54" s="112"/>
      <c r="X54" s="112"/>
      <c r="Y54" s="112"/>
      <c r="Z54" s="112"/>
      <c r="AB54" s="112"/>
      <c r="AC54" s="112"/>
    </row>
    <row r="55" spans="1:31" s="107" customFormat="1" ht="14" x14ac:dyDescent="0.15">
      <c r="A55" s="105">
        <v>43922</v>
      </c>
      <c r="B55" s="84" t="s">
        <v>57</v>
      </c>
      <c r="D55" s="108"/>
      <c r="E55" s="108"/>
      <c r="F55" s="59">
        <v>4711.6899999999996</v>
      </c>
      <c r="G55" s="114"/>
      <c r="H55" s="114"/>
      <c r="I55" s="115"/>
      <c r="J55" s="116"/>
      <c r="K55" s="117"/>
      <c r="L55" s="114"/>
      <c r="M55" s="114"/>
      <c r="N55" s="114"/>
      <c r="O55" s="114"/>
      <c r="P55" s="114"/>
      <c r="Q55" s="114"/>
      <c r="R55" s="114"/>
      <c r="S55" s="114"/>
      <c r="T55" s="88"/>
      <c r="U55" s="150"/>
      <c r="V55" s="104"/>
      <c r="W55" s="112"/>
      <c r="X55" s="112"/>
    </row>
    <row r="56" spans="1:31" s="6" customFormat="1" ht="14" x14ac:dyDescent="0.15">
      <c r="A56" s="55">
        <v>43990</v>
      </c>
      <c r="B56" s="90" t="s">
        <v>80</v>
      </c>
      <c r="D56" s="43">
        <v>1.27</v>
      </c>
      <c r="E56" s="43"/>
      <c r="F56" s="43">
        <f>F55+D56-E56</f>
        <v>4712.96</v>
      </c>
      <c r="G56" s="176"/>
      <c r="H56" s="176">
        <f>-D56</f>
        <v>-1.27</v>
      </c>
      <c r="I56" s="177"/>
      <c r="J56" s="178"/>
      <c r="K56" s="179"/>
      <c r="L56" s="176"/>
      <c r="M56" s="176"/>
      <c r="N56" s="176"/>
      <c r="O56" s="176"/>
      <c r="P56" s="176"/>
      <c r="Q56" s="176"/>
      <c r="R56" s="176"/>
      <c r="S56" s="176"/>
      <c r="T56" s="88">
        <f>SUM(G56:S56)</f>
        <v>-1.27</v>
      </c>
      <c r="U56" s="180"/>
      <c r="V56" s="104"/>
      <c r="W56" s="181"/>
      <c r="X56" s="181"/>
    </row>
    <row r="57" spans="1:31" s="6" customFormat="1" ht="14" x14ac:dyDescent="0.15">
      <c r="A57" s="55">
        <v>44075</v>
      </c>
      <c r="B57" s="90" t="s">
        <v>90</v>
      </c>
      <c r="D57" s="43">
        <v>0.65</v>
      </c>
      <c r="E57" s="43"/>
      <c r="F57" s="43">
        <f>F56+D57-E57</f>
        <v>4713.6099999999997</v>
      </c>
      <c r="G57" s="176"/>
      <c r="H57" s="176">
        <f>-D57</f>
        <v>-0.65</v>
      </c>
      <c r="I57" s="177"/>
      <c r="J57" s="178"/>
      <c r="K57" s="179"/>
      <c r="L57" s="176"/>
      <c r="M57" s="176"/>
      <c r="N57" s="176"/>
      <c r="O57" s="176"/>
      <c r="P57" s="176"/>
      <c r="Q57" s="176"/>
      <c r="R57" s="176"/>
      <c r="S57" s="176"/>
      <c r="T57" s="88">
        <f>SUM(G57:S57)</f>
        <v>-0.65</v>
      </c>
      <c r="U57" s="180"/>
      <c r="V57" s="104"/>
      <c r="W57" s="181"/>
      <c r="X57" s="181"/>
    </row>
    <row r="58" spans="1:31" s="6" customFormat="1" ht="14" x14ac:dyDescent="0.15">
      <c r="A58" s="55">
        <v>44166</v>
      </c>
      <c r="B58" s="90" t="s">
        <v>90</v>
      </c>
      <c r="D58" s="43">
        <v>0.12</v>
      </c>
      <c r="E58" s="43"/>
      <c r="F58" s="43">
        <f>F57+D58-E58</f>
        <v>4713.7299999999996</v>
      </c>
      <c r="G58" s="176"/>
      <c r="H58" s="176">
        <f>-D58</f>
        <v>-0.12</v>
      </c>
      <c r="I58" s="177"/>
      <c r="J58" s="178"/>
      <c r="K58" s="179"/>
      <c r="L58" s="176"/>
      <c r="M58" s="176"/>
      <c r="N58" s="176"/>
      <c r="O58" s="176"/>
      <c r="P58" s="176"/>
      <c r="Q58" s="176"/>
      <c r="R58" s="176"/>
      <c r="S58" s="176"/>
      <c r="T58" s="88">
        <f>SUM(G58:S58)</f>
        <v>-0.12</v>
      </c>
      <c r="U58" s="180"/>
      <c r="V58" s="104"/>
      <c r="W58" s="181"/>
      <c r="X58" s="181"/>
    </row>
    <row r="59" spans="1:31" s="6" customFormat="1" ht="15" thickBot="1" x14ac:dyDescent="0.2">
      <c r="A59" s="55">
        <v>44256</v>
      </c>
      <c r="B59" s="90" t="s">
        <v>90</v>
      </c>
      <c r="D59" s="43">
        <v>0.12</v>
      </c>
      <c r="E59" s="43"/>
      <c r="F59" s="186">
        <f>F58+D59-E59</f>
        <v>4713.8499999999995</v>
      </c>
      <c r="G59" s="176"/>
      <c r="H59" s="176">
        <f>-D59</f>
        <v>-0.12</v>
      </c>
      <c r="I59" s="177"/>
      <c r="J59" s="178"/>
      <c r="K59" s="179"/>
      <c r="L59" s="176"/>
      <c r="M59" s="176"/>
      <c r="N59" s="176"/>
      <c r="O59" s="176"/>
      <c r="P59" s="176"/>
      <c r="Q59" s="176"/>
      <c r="R59" s="176"/>
      <c r="S59" s="176"/>
      <c r="T59" s="88">
        <f>SUM(G59:S59)</f>
        <v>-0.12</v>
      </c>
      <c r="U59" s="180"/>
      <c r="V59" s="104"/>
      <c r="W59" s="181"/>
      <c r="X59" s="181"/>
    </row>
    <row r="60" spans="1:31" s="129" customFormat="1" ht="19" customHeight="1" thickBot="1" x14ac:dyDescent="0.2">
      <c r="A60" s="123" t="s">
        <v>46</v>
      </c>
      <c r="B60" s="124" t="s">
        <v>25</v>
      </c>
      <c r="C60" s="125"/>
      <c r="D60" s="126">
        <f>SUM(D16:D59)</f>
        <v>5362.16</v>
      </c>
      <c r="E60" s="126">
        <f>SUM(E16:E59)</f>
        <v>5504.5</v>
      </c>
      <c r="F60" s="126">
        <f>F51+F59</f>
        <v>16315.840000000004</v>
      </c>
      <c r="G60" s="126">
        <f t="shared" ref="G60:T60" si="3">SUM(G16:G59)</f>
        <v>-5250</v>
      </c>
      <c r="H60" s="126">
        <f t="shared" si="3"/>
        <v>-112.16000000000001</v>
      </c>
      <c r="I60" s="126">
        <f t="shared" si="3"/>
        <v>0</v>
      </c>
      <c r="J60" s="126">
        <f t="shared" si="3"/>
        <v>0</v>
      </c>
      <c r="K60" s="126">
        <f t="shared" si="3"/>
        <v>2693.87</v>
      </c>
      <c r="L60" s="126">
        <f t="shared" si="3"/>
        <v>8.1</v>
      </c>
      <c r="M60" s="126">
        <f t="shared" si="3"/>
        <v>171.8</v>
      </c>
      <c r="N60" s="126">
        <f t="shared" si="3"/>
        <v>75.36</v>
      </c>
      <c r="O60" s="126">
        <f t="shared" si="3"/>
        <v>775.87833333333333</v>
      </c>
      <c r="P60" s="126">
        <f t="shared" si="3"/>
        <v>338.88</v>
      </c>
      <c r="Q60" s="126">
        <f t="shared" si="3"/>
        <v>276</v>
      </c>
      <c r="R60" s="126">
        <f t="shared" si="3"/>
        <v>1124</v>
      </c>
      <c r="S60" s="126">
        <f t="shared" si="3"/>
        <v>40.611666666666665</v>
      </c>
      <c r="T60" s="127">
        <f t="shared" si="3"/>
        <v>142.33999999999932</v>
      </c>
      <c r="U60" s="151"/>
      <c r="V60" s="133"/>
      <c r="W60" s="128"/>
      <c r="X60" s="128"/>
    </row>
    <row r="61" spans="1:31" s="145" customFormat="1" x14ac:dyDescent="0.15">
      <c r="A61" s="188"/>
      <c r="B61" s="85"/>
      <c r="C61" s="31"/>
      <c r="D61" s="86"/>
      <c r="E61" s="86"/>
      <c r="F61" s="86"/>
      <c r="G61" s="86"/>
      <c r="H61" s="86"/>
      <c r="I61" s="271"/>
      <c r="J61" s="86"/>
      <c r="K61" s="86"/>
      <c r="L61" s="86"/>
      <c r="M61" s="234"/>
      <c r="N61" s="86"/>
      <c r="O61" s="86"/>
      <c r="P61" s="86"/>
      <c r="Q61" s="86"/>
      <c r="R61" s="86"/>
      <c r="S61" s="86"/>
      <c r="T61" s="86"/>
      <c r="U61" s="152"/>
      <c r="V61" s="143"/>
      <c r="W61" s="144"/>
      <c r="X61" s="144"/>
      <c r="Y61" s="144"/>
      <c r="Z61" s="144"/>
      <c r="AA61" s="136"/>
      <c r="AB61" s="144"/>
      <c r="AC61" s="144"/>
      <c r="AD61" s="136"/>
      <c r="AE61" s="136"/>
    </row>
    <row r="62" spans="1:31" s="146" customFormat="1" x14ac:dyDescent="0.15">
      <c r="A62" s="189"/>
      <c r="B62" s="140"/>
      <c r="C62" s="142"/>
      <c r="D62" s="45"/>
      <c r="E62" s="45"/>
      <c r="G62" s="45"/>
      <c r="H62" s="45"/>
      <c r="I62" s="225"/>
      <c r="J62" s="45"/>
      <c r="K62" s="45"/>
      <c r="M62" s="274"/>
      <c r="N62" s="45"/>
      <c r="O62" s="45"/>
      <c r="P62" s="45"/>
      <c r="Q62" s="45"/>
      <c r="R62" s="45"/>
      <c r="S62" s="45"/>
      <c r="T62" s="45"/>
      <c r="U62" s="153"/>
      <c r="V62" s="147"/>
      <c r="W62" s="148"/>
      <c r="X62" s="148"/>
      <c r="Y62" s="148"/>
      <c r="Z62" s="148"/>
      <c r="AA62" s="142"/>
      <c r="AB62" s="148"/>
      <c r="AC62" s="148"/>
      <c r="AD62" s="142"/>
      <c r="AE62" s="142"/>
    </row>
    <row r="63" spans="1:31" x14ac:dyDescent="0.15">
      <c r="J63" s="45"/>
    </row>
    <row r="64" spans="1:31" x14ac:dyDescent="0.15">
      <c r="J64" s="45"/>
    </row>
    <row r="65" spans="10:10" x14ac:dyDescent="0.15">
      <c r="J65" s="45"/>
    </row>
    <row r="66" spans="10:10" x14ac:dyDescent="0.15">
      <c r="J66" s="45"/>
    </row>
    <row r="67" spans="10:10" x14ac:dyDescent="0.15">
      <c r="J67" s="45"/>
    </row>
    <row r="68" spans="10:10" x14ac:dyDescent="0.15">
      <c r="J68" s="45"/>
    </row>
    <row r="69" spans="10:10" x14ac:dyDescent="0.15">
      <c r="J69" s="45"/>
    </row>
    <row r="70" spans="10:10" x14ac:dyDescent="0.15">
      <c r="J70" s="45"/>
    </row>
    <row r="71" spans="10:10" x14ac:dyDescent="0.15">
      <c r="J71" s="45"/>
    </row>
    <row r="72" spans="10:10" x14ac:dyDescent="0.15">
      <c r="J72" s="45"/>
    </row>
    <row r="73" spans="10:10" x14ac:dyDescent="0.15">
      <c r="J73" s="45"/>
    </row>
    <row r="74" spans="10:10" x14ac:dyDescent="0.15">
      <c r="J74" s="45"/>
    </row>
    <row r="75" spans="10:10" x14ac:dyDescent="0.15">
      <c r="J75" s="45"/>
    </row>
    <row r="76" spans="10:10" x14ac:dyDescent="0.15">
      <c r="J76" s="45"/>
    </row>
    <row r="77" spans="10:10" x14ac:dyDescent="0.15">
      <c r="J77" s="45"/>
    </row>
    <row r="78" spans="10:10" x14ac:dyDescent="0.15">
      <c r="J78" s="45"/>
    </row>
    <row r="79" spans="10:10" x14ac:dyDescent="0.15">
      <c r="J79" s="45"/>
    </row>
    <row r="80" spans="10:10" x14ac:dyDescent="0.15">
      <c r="J80" s="45"/>
    </row>
    <row r="81" spans="10:10" x14ac:dyDescent="0.15">
      <c r="J81" s="45"/>
    </row>
    <row r="82" spans="10:10" x14ac:dyDescent="0.15">
      <c r="J82" s="45"/>
    </row>
    <row r="83" spans="10:10" x14ac:dyDescent="0.15">
      <c r="J83" s="45"/>
    </row>
    <row r="84" spans="10:10" x14ac:dyDescent="0.15">
      <c r="J84" s="45"/>
    </row>
    <row r="85" spans="10:10" x14ac:dyDescent="0.15">
      <c r="J85" s="45"/>
    </row>
    <row r="86" spans="10:10" x14ac:dyDescent="0.15">
      <c r="J86" s="45"/>
    </row>
    <row r="87" spans="10:10" x14ac:dyDescent="0.15">
      <c r="J87" s="45"/>
    </row>
    <row r="88" spans="10:10" x14ac:dyDescent="0.15">
      <c r="J88" s="45"/>
    </row>
    <row r="89" spans="10:10" x14ac:dyDescent="0.15">
      <c r="J89" s="45"/>
    </row>
    <row r="90" spans="10:10" x14ac:dyDescent="0.15">
      <c r="J90" s="45"/>
    </row>
    <row r="91" spans="10:10" x14ac:dyDescent="0.15">
      <c r="J91" s="45"/>
    </row>
    <row r="92" spans="10:10" x14ac:dyDescent="0.15">
      <c r="J92" s="45"/>
    </row>
    <row r="93" spans="10:10" x14ac:dyDescent="0.15">
      <c r="J93" s="45"/>
    </row>
    <row r="94" spans="10:10" x14ac:dyDescent="0.15">
      <c r="J94" s="45"/>
    </row>
    <row r="95" spans="10:10" x14ac:dyDescent="0.15">
      <c r="J95" s="45"/>
    </row>
    <row r="96" spans="10:10" x14ac:dyDescent="0.15">
      <c r="J96" s="45"/>
    </row>
    <row r="97" spans="10:10" x14ac:dyDescent="0.15">
      <c r="J97" s="45"/>
    </row>
    <row r="98" spans="10:10" x14ac:dyDescent="0.15">
      <c r="J98" s="45"/>
    </row>
    <row r="99" spans="10:10" x14ac:dyDescent="0.15">
      <c r="J99" s="45"/>
    </row>
    <row r="100" spans="10:10" x14ac:dyDescent="0.15">
      <c r="J100" s="45"/>
    </row>
    <row r="101" spans="10:10" x14ac:dyDescent="0.15">
      <c r="J101" s="45"/>
    </row>
    <row r="102" spans="10:10" x14ac:dyDescent="0.15">
      <c r="J102" s="45"/>
    </row>
    <row r="103" spans="10:10" x14ac:dyDescent="0.15">
      <c r="J103" s="45"/>
    </row>
    <row r="104" spans="10:10" x14ac:dyDescent="0.15">
      <c r="J104" s="45"/>
    </row>
    <row r="105" spans="10:10" x14ac:dyDescent="0.15">
      <c r="J105" s="45"/>
    </row>
    <row r="106" spans="10:10" x14ac:dyDescent="0.15">
      <c r="J106" s="45"/>
    </row>
    <row r="107" spans="10:10" x14ac:dyDescent="0.15">
      <c r="J107" s="45"/>
    </row>
    <row r="108" spans="10:10" x14ac:dyDescent="0.15">
      <c r="J108" s="45"/>
    </row>
    <row r="109" spans="10:10" x14ac:dyDescent="0.15">
      <c r="J109" s="45"/>
    </row>
    <row r="110" spans="10:10" x14ac:dyDescent="0.15">
      <c r="J110" s="45"/>
    </row>
    <row r="111" spans="10:10" x14ac:dyDescent="0.15">
      <c r="J111" s="45"/>
    </row>
    <row r="112" spans="10:10" x14ac:dyDescent="0.15">
      <c r="J112" s="45"/>
    </row>
    <row r="113" spans="10:10" x14ac:dyDescent="0.15">
      <c r="J113" s="45"/>
    </row>
    <row r="114" spans="10:10" x14ac:dyDescent="0.15">
      <c r="J114" s="45"/>
    </row>
    <row r="115" spans="10:10" x14ac:dyDescent="0.15">
      <c r="J115" s="45"/>
    </row>
    <row r="116" spans="10:10" x14ac:dyDescent="0.15">
      <c r="J116" s="45"/>
    </row>
    <row r="117" spans="10:10" x14ac:dyDescent="0.15">
      <c r="J117" s="45"/>
    </row>
    <row r="118" spans="10:10" x14ac:dyDescent="0.15">
      <c r="J118" s="45"/>
    </row>
    <row r="119" spans="10:10" x14ac:dyDescent="0.15">
      <c r="J119" s="45"/>
    </row>
    <row r="120" spans="10:10" x14ac:dyDescent="0.15">
      <c r="J120" s="45"/>
    </row>
    <row r="121" spans="10:10" x14ac:dyDescent="0.15">
      <c r="J121" s="45"/>
    </row>
    <row r="122" spans="10:10" x14ac:dyDescent="0.15">
      <c r="J122" s="45"/>
    </row>
    <row r="123" spans="10:10" x14ac:dyDescent="0.15">
      <c r="J123" s="45"/>
    </row>
    <row r="124" spans="10:10" x14ac:dyDescent="0.15">
      <c r="J124" s="45"/>
    </row>
    <row r="125" spans="10:10" x14ac:dyDescent="0.15">
      <c r="J125" s="45"/>
    </row>
    <row r="126" spans="10:10" x14ac:dyDescent="0.15">
      <c r="J126" s="45"/>
    </row>
    <row r="127" spans="10:10" x14ac:dyDescent="0.15">
      <c r="J127" s="45"/>
    </row>
    <row r="128" spans="10:10" x14ac:dyDescent="0.15">
      <c r="J128" s="45"/>
    </row>
    <row r="129" spans="10:10" x14ac:dyDescent="0.15">
      <c r="J129" s="45"/>
    </row>
    <row r="130" spans="10:10" x14ac:dyDescent="0.15">
      <c r="J130" s="45"/>
    </row>
    <row r="131" spans="10:10" x14ac:dyDescent="0.15">
      <c r="J131" s="45"/>
    </row>
    <row r="132" spans="10:10" x14ac:dyDescent="0.15">
      <c r="J132" s="45"/>
    </row>
    <row r="133" spans="10:10" x14ac:dyDescent="0.15">
      <c r="J133" s="45"/>
    </row>
    <row r="134" spans="10:10" x14ac:dyDescent="0.15">
      <c r="J134" s="45"/>
    </row>
    <row r="135" spans="10:10" x14ac:dyDescent="0.15">
      <c r="J135" s="45"/>
    </row>
    <row r="136" spans="10:10" x14ac:dyDescent="0.15">
      <c r="J136" s="45"/>
    </row>
  </sheetData>
  <sortState xmlns:xlrd2="http://schemas.microsoft.com/office/spreadsheetml/2017/richdata2" ref="A16:AE52">
    <sortCondition ref="A16:A52"/>
    <sortCondition ref="C16:C52"/>
  </sortState>
  <mergeCells count="2">
    <mergeCell ref="G2:I2"/>
    <mergeCell ref="K2:S2"/>
  </mergeCells>
  <phoneticPr fontId="4" type="noConversion"/>
  <printOptions horizontalCentered="1" verticalCentered="1"/>
  <pageMargins left="0.3" right="0.3" top="0.5" bottom="0.3" header="0.3" footer="0.3"/>
  <pageSetup paperSize="9" scale="58" orientation="landscape" horizontalDpi="4294967292" verticalDpi="4294967292"/>
  <headerFooter scaleWithDoc="0" alignWithMargins="0"/>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58CD5-004E-5145-BA98-A25BF3F27253}">
  <sheetPr>
    <pageSetUpPr fitToPage="1"/>
  </sheetPr>
  <dimension ref="A1:K61"/>
  <sheetViews>
    <sheetView workbookViewId="0">
      <selection activeCell="D57" sqref="D57"/>
    </sheetView>
  </sheetViews>
  <sheetFormatPr baseColWidth="10" defaultRowHeight="18" x14ac:dyDescent="0.2"/>
  <cols>
    <col min="1" max="1" width="32.6640625" style="303" bestFit="1" customWidth="1"/>
    <col min="2" max="2" width="15.33203125" style="303" bestFit="1" customWidth="1"/>
    <col min="3" max="3" width="26" style="303" customWidth="1"/>
    <col min="4" max="5" width="39.6640625" style="303" customWidth="1"/>
    <col min="6" max="6" width="11.5" style="303" bestFit="1" customWidth="1"/>
    <col min="7" max="7" width="40.1640625" style="303" customWidth="1"/>
    <col min="8" max="8" width="17.83203125" style="303" customWidth="1"/>
    <col min="9" max="9" width="17" style="303" customWidth="1"/>
    <col min="10" max="10" width="42.33203125" style="303" customWidth="1"/>
    <col min="11" max="11" width="39.83203125" style="303" customWidth="1"/>
    <col min="12" max="16384" width="10.83203125" style="303"/>
  </cols>
  <sheetData>
    <row r="1" spans="1:11" x14ac:dyDescent="0.2">
      <c r="A1" s="303" t="s">
        <v>195</v>
      </c>
    </row>
    <row r="2" spans="1:11" x14ac:dyDescent="0.2">
      <c r="A2" s="303" t="s">
        <v>309</v>
      </c>
    </row>
    <row r="3" spans="1:11" ht="25" hidden="1" x14ac:dyDescent="0.25">
      <c r="E3" s="304" t="s">
        <v>286</v>
      </c>
      <c r="F3" s="236"/>
    </row>
    <row r="4" spans="1:11" hidden="1" x14ac:dyDescent="0.2">
      <c r="A4" s="235" t="s">
        <v>196</v>
      </c>
      <c r="E4" s="305" t="s">
        <v>287</v>
      </c>
      <c r="F4" s="305" t="s">
        <v>288</v>
      </c>
    </row>
    <row r="5" spans="1:11" hidden="1" x14ac:dyDescent="0.2">
      <c r="E5" s="305" t="s">
        <v>289</v>
      </c>
      <c r="F5" s="305" t="s">
        <v>284</v>
      </c>
    </row>
    <row r="6" spans="1:11" hidden="1" x14ac:dyDescent="0.2">
      <c r="A6" s="303" t="s">
        <v>202</v>
      </c>
      <c r="E6" s="305" t="s">
        <v>290</v>
      </c>
      <c r="F6" s="305" t="s">
        <v>291</v>
      </c>
    </row>
    <row r="7" spans="1:11" hidden="1" x14ac:dyDescent="0.2">
      <c r="A7" s="303" t="s">
        <v>203</v>
      </c>
      <c r="E7" s="305" t="s">
        <v>292</v>
      </c>
      <c r="F7" s="305" t="s">
        <v>293</v>
      </c>
    </row>
    <row r="8" spans="1:11" hidden="1" x14ac:dyDescent="0.2">
      <c r="A8" s="303" t="s">
        <v>204</v>
      </c>
      <c r="E8" s="305" t="s">
        <v>294</v>
      </c>
      <c r="F8" s="305" t="s">
        <v>295</v>
      </c>
    </row>
    <row r="9" spans="1:11" hidden="1" x14ac:dyDescent="0.2">
      <c r="A9" s="303" t="s">
        <v>205</v>
      </c>
      <c r="E9" s="305" t="s">
        <v>296</v>
      </c>
      <c r="F9" s="305" t="s">
        <v>297</v>
      </c>
    </row>
    <row r="10" spans="1:11" hidden="1" x14ac:dyDescent="0.2">
      <c r="A10" s="303" t="s">
        <v>206</v>
      </c>
      <c r="E10" s="412" t="s">
        <v>298</v>
      </c>
      <c r="F10" s="305" t="s">
        <v>299</v>
      </c>
    </row>
    <row r="11" spans="1:11" hidden="1" x14ac:dyDescent="0.2">
      <c r="E11" s="412"/>
      <c r="F11" s="305" t="s">
        <v>288</v>
      </c>
    </row>
    <row r="12" spans="1:11" hidden="1" x14ac:dyDescent="0.2">
      <c r="A12" s="306" t="s">
        <v>197</v>
      </c>
      <c r="E12" s="412"/>
      <c r="F12" s="305" t="s">
        <v>300</v>
      </c>
    </row>
    <row r="13" spans="1:11" hidden="1" x14ac:dyDescent="0.2">
      <c r="A13" s="306" t="s">
        <v>198</v>
      </c>
      <c r="E13" s="412"/>
      <c r="F13" s="305" t="s">
        <v>301</v>
      </c>
    </row>
    <row r="14" spans="1:11" hidden="1" x14ac:dyDescent="0.2">
      <c r="A14" s="306" t="s">
        <v>199</v>
      </c>
      <c r="E14" s="412"/>
      <c r="F14" s="305" t="s">
        <v>302</v>
      </c>
    </row>
    <row r="15" spans="1:11" ht="25" hidden="1" x14ac:dyDescent="0.25">
      <c r="A15" s="306" t="s">
        <v>200</v>
      </c>
      <c r="E15" s="305" t="s">
        <v>303</v>
      </c>
      <c r="F15" s="305" t="s">
        <v>304</v>
      </c>
      <c r="J15" s="304"/>
      <c r="K15" s="236"/>
    </row>
    <row r="16" spans="1:11" hidden="1" x14ac:dyDescent="0.2">
      <c r="A16" s="306" t="s">
        <v>201</v>
      </c>
      <c r="E16" s="305" t="s">
        <v>305</v>
      </c>
      <c r="F16" s="305" t="s">
        <v>306</v>
      </c>
      <c r="J16" s="305"/>
      <c r="K16" s="305"/>
    </row>
    <row r="17" spans="1:11" hidden="1" x14ac:dyDescent="0.2">
      <c r="J17" s="305"/>
      <c r="K17" s="305"/>
    </row>
    <row r="18" spans="1:11" hidden="1" x14ac:dyDescent="0.2">
      <c r="A18" s="306" t="s">
        <v>207</v>
      </c>
      <c r="J18" s="305"/>
      <c r="K18" s="305"/>
    </row>
    <row r="19" spans="1:11" hidden="1" x14ac:dyDescent="0.2">
      <c r="J19" s="305"/>
      <c r="K19" s="305"/>
    </row>
    <row r="20" spans="1:11" x14ac:dyDescent="0.2">
      <c r="J20" s="305"/>
      <c r="K20" s="305"/>
    </row>
    <row r="21" spans="1:11" x14ac:dyDescent="0.2">
      <c r="A21" s="306" t="s">
        <v>208</v>
      </c>
      <c r="J21" s="305"/>
      <c r="K21" s="305"/>
    </row>
    <row r="22" spans="1:11" x14ac:dyDescent="0.2">
      <c r="A22" s="306" t="s">
        <v>209</v>
      </c>
      <c r="J22" s="412"/>
      <c r="K22" s="305"/>
    </row>
    <row r="23" spans="1:11" x14ac:dyDescent="0.2">
      <c r="J23" s="412"/>
      <c r="K23" s="305"/>
    </row>
    <row r="24" spans="1:11" x14ac:dyDescent="0.2">
      <c r="J24" s="412"/>
      <c r="K24" s="305"/>
    </row>
    <row r="25" spans="1:11" x14ac:dyDescent="0.2">
      <c r="A25" s="303" t="s">
        <v>211</v>
      </c>
      <c r="B25" s="303" t="s">
        <v>210</v>
      </c>
      <c r="J25" s="412"/>
      <c r="K25" s="305"/>
    </row>
    <row r="26" spans="1:11" x14ac:dyDescent="0.2">
      <c r="A26" s="303" t="s">
        <v>212</v>
      </c>
      <c r="B26" s="303" t="s">
        <v>213</v>
      </c>
      <c r="J26" s="412"/>
      <c r="K26" s="305"/>
    </row>
    <row r="27" spans="1:11" x14ac:dyDescent="0.2">
      <c r="A27" s="303" t="s">
        <v>214</v>
      </c>
      <c r="B27" s="307" t="s">
        <v>310</v>
      </c>
      <c r="J27" s="305"/>
      <c r="K27" s="305"/>
    </row>
    <row r="28" spans="1:11" x14ac:dyDescent="0.2">
      <c r="A28" s="303" t="s">
        <v>215</v>
      </c>
      <c r="B28" s="303" t="s">
        <v>216</v>
      </c>
      <c r="C28" s="307" t="s">
        <v>217</v>
      </c>
      <c r="D28" s="307" t="s">
        <v>219</v>
      </c>
      <c r="E28" s="303" t="s">
        <v>218</v>
      </c>
      <c r="H28" s="235"/>
      <c r="J28" s="305"/>
      <c r="K28" s="305"/>
    </row>
    <row r="29" spans="1:11" ht="19" thickBot="1" x14ac:dyDescent="0.25">
      <c r="B29" s="324"/>
      <c r="C29" s="324"/>
      <c r="D29" s="324"/>
      <c r="E29" s="324"/>
      <c r="F29" s="324"/>
      <c r="H29" s="308"/>
      <c r="I29" s="308"/>
    </row>
    <row r="30" spans="1:11" s="309" customFormat="1" ht="36" customHeight="1" x14ac:dyDescent="0.2">
      <c r="A30" s="317"/>
      <c r="B30" s="326" t="s">
        <v>337</v>
      </c>
      <c r="C30" s="327" t="s">
        <v>338</v>
      </c>
      <c r="D30" s="327" t="s">
        <v>339</v>
      </c>
      <c r="E30" s="328" t="s">
        <v>340</v>
      </c>
      <c r="F30" s="329" t="s">
        <v>341</v>
      </c>
      <c r="G30" s="321"/>
      <c r="I30" s="310"/>
    </row>
    <row r="31" spans="1:11" s="311" customFormat="1" ht="36" customHeight="1" x14ac:dyDescent="0.2">
      <c r="A31" s="318" t="s">
        <v>221</v>
      </c>
      <c r="B31" s="330">
        <v>43739</v>
      </c>
      <c r="C31" s="312" t="s">
        <v>220</v>
      </c>
      <c r="D31" s="311" t="s">
        <v>222</v>
      </c>
      <c r="E31" s="311" t="s">
        <v>335</v>
      </c>
      <c r="F31" s="331">
        <v>72.5</v>
      </c>
      <c r="G31" s="322"/>
    </row>
    <row r="32" spans="1:11" x14ac:dyDescent="0.2">
      <c r="A32" s="319" t="s">
        <v>223</v>
      </c>
      <c r="B32" s="332">
        <v>43750</v>
      </c>
      <c r="C32" s="314" t="s">
        <v>285</v>
      </c>
      <c r="D32" s="303" t="s">
        <v>224</v>
      </c>
      <c r="E32" s="303" t="s">
        <v>312</v>
      </c>
      <c r="F32" s="333">
        <v>13.33</v>
      </c>
      <c r="G32" s="323"/>
      <c r="H32" s="305"/>
    </row>
    <row r="33" spans="1:8" x14ac:dyDescent="0.2">
      <c r="A33" s="319" t="s">
        <v>223</v>
      </c>
      <c r="B33" s="332">
        <v>44091</v>
      </c>
      <c r="C33" s="314" t="s">
        <v>285</v>
      </c>
      <c r="D33" s="303" t="s">
        <v>224</v>
      </c>
      <c r="E33" s="303" t="s">
        <v>312</v>
      </c>
      <c r="F33" s="333">
        <v>13.33</v>
      </c>
      <c r="G33" s="323"/>
    </row>
    <row r="34" spans="1:8" x14ac:dyDescent="0.2">
      <c r="A34" s="319" t="s">
        <v>308</v>
      </c>
      <c r="B34" s="332">
        <v>44014</v>
      </c>
      <c r="C34" s="315" t="s">
        <v>307</v>
      </c>
      <c r="D34" s="303" t="s">
        <v>311</v>
      </c>
      <c r="E34" s="303" t="s">
        <v>313</v>
      </c>
      <c r="F34" s="333">
        <v>3.01</v>
      </c>
      <c r="G34" s="323"/>
    </row>
    <row r="35" spans="1:8" x14ac:dyDescent="0.2">
      <c r="A35" s="319" t="s">
        <v>308</v>
      </c>
      <c r="B35" s="332">
        <v>44014</v>
      </c>
      <c r="C35" s="315" t="s">
        <v>307</v>
      </c>
      <c r="D35" s="303" t="s">
        <v>311</v>
      </c>
      <c r="E35" s="303" t="s">
        <v>313</v>
      </c>
      <c r="F35" s="333">
        <v>4.49</v>
      </c>
      <c r="G35" s="323"/>
    </row>
    <row r="36" spans="1:8" x14ac:dyDescent="0.2">
      <c r="A36" s="319" t="s">
        <v>308</v>
      </c>
      <c r="B36" s="332">
        <v>44062</v>
      </c>
      <c r="C36" s="315" t="s">
        <v>307</v>
      </c>
      <c r="D36" s="303" t="s">
        <v>311</v>
      </c>
      <c r="E36" s="303" t="s">
        <v>313</v>
      </c>
      <c r="F36" s="333">
        <v>2.4500000000000002</v>
      </c>
      <c r="G36" s="323"/>
      <c r="H36" s="313"/>
    </row>
    <row r="37" spans="1:8" x14ac:dyDescent="0.2">
      <c r="A37" s="319" t="s">
        <v>308</v>
      </c>
      <c r="B37" s="332">
        <v>44062</v>
      </c>
      <c r="C37" s="315" t="s">
        <v>307</v>
      </c>
      <c r="D37" s="303" t="s">
        <v>311</v>
      </c>
      <c r="E37" s="303" t="s">
        <v>313</v>
      </c>
      <c r="F37" s="333">
        <v>1.62</v>
      </c>
      <c r="G37" s="323"/>
    </row>
    <row r="38" spans="1:8" x14ac:dyDescent="0.2">
      <c r="A38" s="319" t="s">
        <v>308</v>
      </c>
      <c r="B38" s="332">
        <v>44091</v>
      </c>
      <c r="C38" s="315" t="s">
        <v>307</v>
      </c>
      <c r="D38" s="303" t="s">
        <v>311</v>
      </c>
      <c r="E38" s="303" t="s">
        <v>313</v>
      </c>
      <c r="F38" s="333">
        <v>0.27</v>
      </c>
      <c r="G38" s="323"/>
      <c r="H38" s="313"/>
    </row>
    <row r="39" spans="1:8" x14ac:dyDescent="0.2">
      <c r="A39" s="319" t="s">
        <v>308</v>
      </c>
      <c r="B39" s="332">
        <v>44091</v>
      </c>
      <c r="C39" s="315" t="s">
        <v>307</v>
      </c>
      <c r="D39" s="303" t="s">
        <v>311</v>
      </c>
      <c r="E39" s="303" t="s">
        <v>313</v>
      </c>
      <c r="F39" s="333">
        <v>1.6</v>
      </c>
      <c r="G39" s="323"/>
    </row>
    <row r="40" spans="1:8" x14ac:dyDescent="0.2">
      <c r="A40" s="319" t="s">
        <v>308</v>
      </c>
      <c r="B40" s="332">
        <v>44127</v>
      </c>
      <c r="C40" s="315" t="s">
        <v>307</v>
      </c>
      <c r="D40" s="303" t="s">
        <v>311</v>
      </c>
      <c r="E40" s="303" t="s">
        <v>313</v>
      </c>
      <c r="F40" s="333">
        <v>0.26</v>
      </c>
      <c r="G40" s="323"/>
      <c r="H40" s="313"/>
    </row>
    <row r="41" spans="1:8" x14ac:dyDescent="0.2">
      <c r="A41" s="319" t="s">
        <v>308</v>
      </c>
      <c r="B41" s="332">
        <v>44127</v>
      </c>
      <c r="C41" s="315" t="s">
        <v>307</v>
      </c>
      <c r="D41" s="303" t="s">
        <v>311</v>
      </c>
      <c r="E41" s="303" t="s">
        <v>313</v>
      </c>
      <c r="F41" s="333">
        <v>1.66</v>
      </c>
      <c r="G41" s="323"/>
    </row>
    <row r="42" spans="1:8" x14ac:dyDescent="0.2">
      <c r="A42" s="319" t="s">
        <v>308</v>
      </c>
      <c r="B42" s="332">
        <v>44153</v>
      </c>
      <c r="C42" s="315" t="s">
        <v>307</v>
      </c>
      <c r="D42" s="303" t="s">
        <v>311</v>
      </c>
      <c r="E42" s="303" t="s">
        <v>313</v>
      </c>
      <c r="F42" s="333">
        <v>0.27</v>
      </c>
      <c r="G42" s="323"/>
      <c r="H42" s="313"/>
    </row>
    <row r="43" spans="1:8" x14ac:dyDescent="0.2">
      <c r="A43" s="319" t="s">
        <v>308</v>
      </c>
      <c r="B43" s="332">
        <v>44153</v>
      </c>
      <c r="C43" s="315" t="s">
        <v>307</v>
      </c>
      <c r="D43" s="303" t="s">
        <v>311</v>
      </c>
      <c r="E43" s="303" t="s">
        <v>313</v>
      </c>
      <c r="F43" s="333">
        <v>1.92</v>
      </c>
      <c r="G43" s="323"/>
    </row>
    <row r="44" spans="1:8" x14ac:dyDescent="0.2">
      <c r="A44" s="319" t="s">
        <v>308</v>
      </c>
      <c r="B44" s="332">
        <v>44189</v>
      </c>
      <c r="C44" s="315" t="s">
        <v>307</v>
      </c>
      <c r="D44" s="303" t="s">
        <v>311</v>
      </c>
      <c r="E44" s="303" t="s">
        <v>313</v>
      </c>
      <c r="F44" s="333">
        <v>0.27</v>
      </c>
      <c r="G44" s="323"/>
      <c r="H44" s="313"/>
    </row>
    <row r="45" spans="1:8" x14ac:dyDescent="0.2">
      <c r="A45" s="319" t="s">
        <v>308</v>
      </c>
      <c r="B45" s="332">
        <v>44189</v>
      </c>
      <c r="C45" s="315" t="s">
        <v>307</v>
      </c>
      <c r="D45" s="303" t="s">
        <v>311</v>
      </c>
      <c r="E45" s="303" t="s">
        <v>313</v>
      </c>
      <c r="F45" s="333">
        <v>2.04</v>
      </c>
      <c r="G45" s="323"/>
    </row>
    <row r="46" spans="1:8" x14ac:dyDescent="0.2">
      <c r="A46" s="319" t="s">
        <v>308</v>
      </c>
      <c r="B46" s="332">
        <v>44218</v>
      </c>
      <c r="C46" s="315" t="s">
        <v>307</v>
      </c>
      <c r="D46" s="303" t="s">
        <v>311</v>
      </c>
      <c r="E46" s="303" t="s">
        <v>313</v>
      </c>
      <c r="F46" s="333">
        <v>0.28000000000000003</v>
      </c>
      <c r="G46" s="323"/>
      <c r="H46" s="313"/>
    </row>
    <row r="47" spans="1:8" x14ac:dyDescent="0.2">
      <c r="A47" s="319" t="s">
        <v>308</v>
      </c>
      <c r="B47" s="332">
        <v>44218</v>
      </c>
      <c r="C47" s="315" t="s">
        <v>307</v>
      </c>
      <c r="D47" s="303" t="s">
        <v>311</v>
      </c>
      <c r="E47" s="303" t="s">
        <v>313</v>
      </c>
      <c r="F47" s="333">
        <v>2.31</v>
      </c>
      <c r="G47" s="323"/>
    </row>
    <row r="48" spans="1:8" x14ac:dyDescent="0.2">
      <c r="A48" s="319" t="s">
        <v>308</v>
      </c>
      <c r="B48" s="332">
        <v>44246</v>
      </c>
      <c r="C48" s="315" t="s">
        <v>307</v>
      </c>
      <c r="D48" s="303" t="s">
        <v>311</v>
      </c>
      <c r="E48" s="303" t="s">
        <v>313</v>
      </c>
      <c r="F48" s="333">
        <v>0.28000000000000003</v>
      </c>
      <c r="G48" s="323"/>
      <c r="H48" s="313"/>
    </row>
    <row r="49" spans="1:8" x14ac:dyDescent="0.2">
      <c r="A49" s="319" t="s">
        <v>308</v>
      </c>
      <c r="B49" s="332">
        <v>44246</v>
      </c>
      <c r="C49" s="315" t="s">
        <v>307</v>
      </c>
      <c r="D49" s="303" t="s">
        <v>311</v>
      </c>
      <c r="E49" s="303" t="s">
        <v>313</v>
      </c>
      <c r="F49" s="333">
        <v>2.3199999999999998</v>
      </c>
      <c r="G49" s="323"/>
    </row>
    <row r="50" spans="1:8" x14ac:dyDescent="0.2">
      <c r="A50" s="319" t="s">
        <v>308</v>
      </c>
      <c r="B50" s="332">
        <v>44272</v>
      </c>
      <c r="C50" s="315" t="s">
        <v>307</v>
      </c>
      <c r="D50" s="303" t="s">
        <v>311</v>
      </c>
      <c r="E50" s="303" t="s">
        <v>313</v>
      </c>
      <c r="F50" s="333">
        <v>0.25</v>
      </c>
      <c r="G50" s="323"/>
      <c r="H50" s="313"/>
    </row>
    <row r="51" spans="1:8" x14ac:dyDescent="0.2">
      <c r="A51" s="319" t="s">
        <v>308</v>
      </c>
      <c r="B51" s="332">
        <v>44272</v>
      </c>
      <c r="C51" s="315" t="s">
        <v>307</v>
      </c>
      <c r="D51" s="303" t="s">
        <v>311</v>
      </c>
      <c r="E51" s="303" t="s">
        <v>313</v>
      </c>
      <c r="F51" s="333">
        <v>1.98</v>
      </c>
      <c r="G51" s="323"/>
    </row>
    <row r="52" spans="1:8" x14ac:dyDescent="0.2">
      <c r="A52" s="319"/>
      <c r="B52" s="334"/>
      <c r="C52" s="316"/>
      <c r="D52" s="316"/>
      <c r="E52" s="316"/>
      <c r="F52" s="335"/>
      <c r="G52" s="323"/>
    </row>
    <row r="53" spans="1:8" ht="19" thickBot="1" x14ac:dyDescent="0.25">
      <c r="A53" s="320" t="s">
        <v>343</v>
      </c>
      <c r="B53" s="336">
        <v>44286</v>
      </c>
      <c r="C53" s="337"/>
      <c r="D53" s="337"/>
      <c r="E53" s="338" t="s">
        <v>336</v>
      </c>
      <c r="F53" s="339">
        <f>SUM(F31:F51)</f>
        <v>126.44</v>
      </c>
      <c r="G53" s="323"/>
    </row>
    <row r="54" spans="1:8" x14ac:dyDescent="0.2">
      <c r="B54" s="325"/>
      <c r="C54" s="325"/>
      <c r="D54" s="325"/>
      <c r="E54" s="325"/>
      <c r="F54" s="325"/>
    </row>
    <row r="55" spans="1:8" x14ac:dyDescent="0.2">
      <c r="B55" s="313"/>
      <c r="E55" s="303" t="s">
        <v>399</v>
      </c>
      <c r="F55" s="303">
        <v>126.44</v>
      </c>
    </row>
    <row r="56" spans="1:8" x14ac:dyDescent="0.2">
      <c r="B56" s="313"/>
    </row>
    <row r="58" spans="1:8" x14ac:dyDescent="0.2">
      <c r="B58" s="313"/>
    </row>
    <row r="59" spans="1:8" x14ac:dyDescent="0.2">
      <c r="B59" s="313"/>
    </row>
    <row r="60" spans="1:8" x14ac:dyDescent="0.2">
      <c r="B60" s="313"/>
    </row>
    <row r="61" spans="1:8" x14ac:dyDescent="0.2">
      <c r="B61" s="313"/>
    </row>
  </sheetData>
  <mergeCells count="2">
    <mergeCell ref="J22:J26"/>
    <mergeCell ref="E10:E14"/>
  </mergeCells>
  <printOptions horizontalCentered="1" verticalCentered="1"/>
  <pageMargins left="0.7" right="0.7" top="0.75" bottom="0.75" header="0.3" footer="0.3"/>
  <pageSetup paperSize="9"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2"/>
  <sheetViews>
    <sheetView topLeftCell="A6" zoomScale="150" workbookViewId="0">
      <selection activeCell="A46" sqref="A46:XFD52"/>
    </sheetView>
  </sheetViews>
  <sheetFormatPr baseColWidth="10" defaultRowHeight="13" x14ac:dyDescent="0.15"/>
  <cols>
    <col min="1" max="1" width="9.6640625" customWidth="1"/>
    <col min="2" max="2" width="38.1640625" customWidth="1"/>
    <col min="3" max="3" width="9.5" customWidth="1"/>
    <col min="4" max="4" width="10" style="155" customWidth="1"/>
    <col min="5" max="5" width="9.1640625" style="155" bestFit="1" customWidth="1"/>
  </cols>
  <sheetData>
    <row r="1" spans="1:5" ht="18" x14ac:dyDescent="0.2">
      <c r="A1" s="159" t="s">
        <v>68</v>
      </c>
      <c r="B1" s="48"/>
      <c r="C1" s="48"/>
      <c r="D1" s="160"/>
      <c r="E1" s="161"/>
    </row>
    <row r="2" spans="1:5" x14ac:dyDescent="0.15">
      <c r="A2" s="54"/>
      <c r="B2" s="4"/>
      <c r="C2" s="4"/>
      <c r="D2" s="156"/>
      <c r="E2" s="162"/>
    </row>
    <row r="3" spans="1:5" x14ac:dyDescent="0.15">
      <c r="A3" s="163" t="s">
        <v>233</v>
      </c>
      <c r="B3" s="4"/>
      <c r="C3" s="4"/>
      <c r="D3" s="156"/>
      <c r="E3" s="162"/>
    </row>
    <row r="4" spans="1:5" x14ac:dyDescent="0.15">
      <c r="A4" s="54"/>
      <c r="B4" s="4"/>
      <c r="C4" s="4"/>
      <c r="D4" s="156"/>
      <c r="E4" s="162"/>
    </row>
    <row r="5" spans="1:5" x14ac:dyDescent="0.15">
      <c r="A5" s="163" t="s">
        <v>55</v>
      </c>
      <c r="B5" s="4"/>
      <c r="C5" s="4"/>
      <c r="D5" s="156"/>
      <c r="E5" s="162"/>
    </row>
    <row r="6" spans="1:5" x14ac:dyDescent="0.15">
      <c r="A6" s="54"/>
      <c r="B6" s="6" t="s">
        <v>332</v>
      </c>
      <c r="C6" s="4"/>
      <c r="D6" s="156"/>
      <c r="E6" s="162"/>
    </row>
    <row r="7" spans="1:5" ht="28" x14ac:dyDescent="0.15">
      <c r="A7" s="54"/>
      <c r="B7" s="4"/>
      <c r="C7" s="10" t="s">
        <v>126</v>
      </c>
      <c r="D7" s="157" t="s">
        <v>97</v>
      </c>
      <c r="E7" s="162"/>
    </row>
    <row r="8" spans="1:5" x14ac:dyDescent="0.15">
      <c r="A8" s="54"/>
      <c r="B8" s="5" t="s">
        <v>138</v>
      </c>
      <c r="C8" s="4"/>
      <c r="D8" s="156" t="s">
        <v>83</v>
      </c>
      <c r="E8" s="162"/>
    </row>
    <row r="9" spans="1:5" x14ac:dyDescent="0.15">
      <c r="A9" s="54"/>
      <c r="B9" s="158" t="s">
        <v>27</v>
      </c>
      <c r="C9" s="4">
        <v>2010</v>
      </c>
      <c r="D9" s="156">
        <v>28820</v>
      </c>
      <c r="E9" s="162"/>
    </row>
    <row r="10" spans="1:5" x14ac:dyDescent="0.15">
      <c r="A10" s="54"/>
      <c r="B10" s="158" t="s">
        <v>143</v>
      </c>
      <c r="C10" s="4"/>
      <c r="D10" s="156">
        <v>4521</v>
      </c>
      <c r="E10" s="162"/>
    </row>
    <row r="11" spans="1:5" x14ac:dyDescent="0.15">
      <c r="A11" s="54"/>
      <c r="B11" s="158" t="s">
        <v>21</v>
      </c>
      <c r="C11" s="4">
        <v>2011</v>
      </c>
      <c r="D11" s="156">
        <v>815</v>
      </c>
      <c r="E11" s="162"/>
    </row>
    <row r="12" spans="1:5" x14ac:dyDescent="0.15">
      <c r="A12" s="54"/>
      <c r="B12" s="158" t="s">
        <v>59</v>
      </c>
      <c r="C12" s="4">
        <v>1999</v>
      </c>
      <c r="D12" s="156">
        <v>3102</v>
      </c>
      <c r="E12" s="162"/>
    </row>
    <row r="13" spans="1:5" x14ac:dyDescent="0.15">
      <c r="A13" s="54"/>
      <c r="B13" s="158" t="s">
        <v>139</v>
      </c>
      <c r="C13" s="4"/>
      <c r="D13" s="156">
        <v>1417</v>
      </c>
      <c r="E13" s="162"/>
    </row>
    <row r="14" spans="1:5" x14ac:dyDescent="0.15">
      <c r="A14" s="54"/>
      <c r="B14" s="158" t="s">
        <v>112</v>
      </c>
      <c r="C14" s="4"/>
      <c r="D14" s="156">
        <v>561</v>
      </c>
      <c r="E14" s="162"/>
    </row>
    <row r="15" spans="1:5" x14ac:dyDescent="0.15">
      <c r="A15" s="54"/>
      <c r="B15" s="158" t="s">
        <v>18</v>
      </c>
      <c r="C15" s="4">
        <v>2015</v>
      </c>
      <c r="D15" s="156">
        <v>1011.6</v>
      </c>
      <c r="E15" s="162"/>
    </row>
    <row r="16" spans="1:5" s="139" customFormat="1" x14ac:dyDescent="0.15">
      <c r="A16" s="54"/>
      <c r="B16" s="226" t="s">
        <v>175</v>
      </c>
      <c r="C16" s="4">
        <v>2019</v>
      </c>
      <c r="D16" s="185">
        <v>316.63</v>
      </c>
      <c r="E16" s="174"/>
    </row>
    <row r="17" spans="1:5" s="139" customFormat="1" x14ac:dyDescent="0.15">
      <c r="A17" s="54"/>
      <c r="B17" s="226" t="s">
        <v>176</v>
      </c>
      <c r="C17" s="4">
        <v>2019</v>
      </c>
      <c r="D17" s="185">
        <v>45.82</v>
      </c>
      <c r="E17" s="174"/>
    </row>
    <row r="18" spans="1:5" s="139" customFormat="1" x14ac:dyDescent="0.15">
      <c r="A18" s="54"/>
      <c r="E18" s="174"/>
    </row>
    <row r="19" spans="1:5" x14ac:dyDescent="0.15">
      <c r="A19" s="54"/>
      <c r="B19" s="5" t="s">
        <v>19</v>
      </c>
      <c r="C19" s="4"/>
      <c r="D19" s="156"/>
      <c r="E19" s="164">
        <f>SUM(D9:D17)</f>
        <v>40610.049999999996</v>
      </c>
    </row>
    <row r="20" spans="1:5" x14ac:dyDescent="0.15">
      <c r="A20" s="54"/>
      <c r="B20" s="4"/>
      <c r="C20" s="4"/>
      <c r="D20" s="156"/>
      <c r="E20" s="162"/>
    </row>
    <row r="21" spans="1:5" x14ac:dyDescent="0.15">
      <c r="A21" s="163" t="s">
        <v>141</v>
      </c>
      <c r="B21" s="4"/>
      <c r="C21" s="4"/>
      <c r="D21" s="156"/>
      <c r="E21" s="162"/>
    </row>
    <row r="22" spans="1:5" x14ac:dyDescent="0.15">
      <c r="A22" s="54"/>
      <c r="B22" s="4" t="s">
        <v>88</v>
      </c>
      <c r="C22" s="4"/>
      <c r="D22" s="156"/>
      <c r="E22" s="162"/>
    </row>
    <row r="23" spans="1:5" x14ac:dyDescent="0.15">
      <c r="A23" s="54"/>
      <c r="B23" s="4"/>
      <c r="C23" s="4"/>
      <c r="D23" s="156"/>
      <c r="E23" s="162"/>
    </row>
    <row r="24" spans="1:5" x14ac:dyDescent="0.15">
      <c r="A24" s="163" t="s">
        <v>28</v>
      </c>
      <c r="B24" s="4"/>
      <c r="C24" s="4"/>
      <c r="D24" s="156"/>
      <c r="E24" s="162"/>
    </row>
    <row r="25" spans="1:5" x14ac:dyDescent="0.15">
      <c r="A25" s="54"/>
      <c r="B25" s="4" t="s">
        <v>22</v>
      </c>
      <c r="C25" s="4"/>
      <c r="D25" s="156"/>
      <c r="E25" s="162"/>
    </row>
    <row r="26" spans="1:5" x14ac:dyDescent="0.15">
      <c r="A26" s="54"/>
      <c r="B26" s="4"/>
      <c r="C26" s="4"/>
      <c r="D26" s="156"/>
      <c r="E26" s="162"/>
    </row>
    <row r="27" spans="1:5" x14ac:dyDescent="0.15">
      <c r="A27" s="163" t="s">
        <v>48</v>
      </c>
      <c r="B27" s="4"/>
      <c r="C27" s="4"/>
      <c r="D27" s="156"/>
      <c r="E27" s="162"/>
    </row>
    <row r="28" spans="1:5" x14ac:dyDescent="0.15">
      <c r="A28" s="54"/>
      <c r="B28" s="6" t="s">
        <v>314</v>
      </c>
      <c r="C28" s="4"/>
      <c r="D28" s="156">
        <f>169.44</f>
        <v>169.44</v>
      </c>
      <c r="E28" s="162"/>
    </row>
    <row r="29" spans="1:5" x14ac:dyDescent="0.15">
      <c r="A29" s="54"/>
      <c r="B29" s="6" t="s">
        <v>315</v>
      </c>
      <c r="C29" s="4"/>
      <c r="D29" s="156">
        <f>85.83+'Cash Book 2020-21'!S60</f>
        <v>126.44166666666666</v>
      </c>
      <c r="E29" s="162"/>
    </row>
    <row r="30" spans="1:5" x14ac:dyDescent="0.15">
      <c r="A30" s="54"/>
      <c r="B30" s="4"/>
      <c r="C30" s="4"/>
      <c r="D30" s="156"/>
      <c r="E30" s="162"/>
    </row>
    <row r="31" spans="1:5" x14ac:dyDescent="0.15">
      <c r="A31" s="163" t="s">
        <v>34</v>
      </c>
      <c r="B31" s="4"/>
      <c r="C31" s="4"/>
      <c r="D31" s="156"/>
      <c r="E31" s="162"/>
    </row>
    <row r="32" spans="1:5" x14ac:dyDescent="0.15">
      <c r="A32" s="54"/>
      <c r="B32" s="4" t="s">
        <v>17</v>
      </c>
      <c r="C32" s="4"/>
      <c r="D32" s="156"/>
      <c r="E32" s="162"/>
    </row>
    <row r="33" spans="1:5" x14ac:dyDescent="0.15">
      <c r="A33" s="54"/>
      <c r="B33" s="4"/>
      <c r="C33" s="4"/>
      <c r="D33" s="156"/>
      <c r="E33" s="162"/>
    </row>
    <row r="34" spans="1:5" x14ac:dyDescent="0.15">
      <c r="A34" s="163" t="s">
        <v>92</v>
      </c>
      <c r="B34" s="4"/>
      <c r="C34" s="4"/>
      <c r="D34" s="156"/>
      <c r="E34" s="162"/>
    </row>
    <row r="35" spans="1:5" x14ac:dyDescent="0.15">
      <c r="A35" s="54"/>
      <c r="B35" s="4" t="s">
        <v>93</v>
      </c>
      <c r="C35" s="4"/>
      <c r="D35" s="156" t="s">
        <v>35</v>
      </c>
      <c r="E35" s="162"/>
    </row>
    <row r="36" spans="1:5" x14ac:dyDescent="0.15">
      <c r="A36" s="54"/>
      <c r="B36" s="4"/>
      <c r="C36" s="4"/>
      <c r="D36" s="156"/>
      <c r="E36" s="162"/>
    </row>
    <row r="37" spans="1:5" x14ac:dyDescent="0.15">
      <c r="A37" s="163" t="s">
        <v>109</v>
      </c>
      <c r="B37" s="4"/>
      <c r="C37" s="4"/>
      <c r="D37" s="156"/>
      <c r="E37" s="162"/>
    </row>
    <row r="38" spans="1:5" x14ac:dyDescent="0.15">
      <c r="A38" s="54"/>
      <c r="B38" s="4" t="s">
        <v>26</v>
      </c>
      <c r="C38" s="4"/>
      <c r="D38" s="156"/>
      <c r="E38" s="162"/>
    </row>
    <row r="39" spans="1:5" x14ac:dyDescent="0.15">
      <c r="A39" s="54"/>
      <c r="B39" s="4"/>
      <c r="C39" s="4"/>
      <c r="D39" s="156"/>
      <c r="E39" s="162"/>
    </row>
    <row r="40" spans="1:5" x14ac:dyDescent="0.15">
      <c r="A40" s="163" t="s">
        <v>10</v>
      </c>
      <c r="B40" s="4"/>
      <c r="C40" s="4"/>
      <c r="D40" s="156" t="s">
        <v>35</v>
      </c>
      <c r="E40" s="162"/>
    </row>
    <row r="41" spans="1:5" x14ac:dyDescent="0.15">
      <c r="A41" s="54"/>
      <c r="B41" s="4"/>
      <c r="C41" s="4"/>
      <c r="D41" s="156"/>
      <c r="E41" s="162"/>
    </row>
    <row r="42" spans="1:5" x14ac:dyDescent="0.15">
      <c r="A42" s="54"/>
      <c r="B42" s="4"/>
      <c r="C42" s="4"/>
      <c r="D42" s="156"/>
      <c r="E42" s="162"/>
    </row>
    <row r="43" spans="1:5" x14ac:dyDescent="0.15">
      <c r="A43" s="163" t="s">
        <v>36</v>
      </c>
      <c r="B43" s="4"/>
      <c r="C43" s="4"/>
      <c r="D43" s="156" t="s">
        <v>35</v>
      </c>
      <c r="E43" s="162"/>
    </row>
    <row r="44" spans="1:5" x14ac:dyDescent="0.15">
      <c r="A44" s="165"/>
      <c r="B44" s="166"/>
      <c r="C44" s="166"/>
      <c r="D44" s="167"/>
      <c r="E44" s="168"/>
    </row>
    <row r="46" spans="1:5" x14ac:dyDescent="0.15">
      <c r="A46" s="139"/>
      <c r="B46" s="139"/>
      <c r="C46" s="139"/>
      <c r="D46" s="139"/>
    </row>
    <row r="47" spans="1:5" x14ac:dyDescent="0.15">
      <c r="A47" s="139"/>
      <c r="B47" s="139"/>
      <c r="C47" s="139"/>
      <c r="D47" s="139"/>
    </row>
    <row r="48" spans="1:5" x14ac:dyDescent="0.15">
      <c r="A48" s="139"/>
      <c r="B48" s="139"/>
      <c r="C48" s="139"/>
    </row>
    <row r="49" spans="1:4" x14ac:dyDescent="0.15">
      <c r="A49" s="139"/>
      <c r="B49" s="139"/>
      <c r="C49" s="139"/>
      <c r="D49" s="139"/>
    </row>
    <row r="50" spans="1:4" x14ac:dyDescent="0.15">
      <c r="A50" s="139"/>
      <c r="B50" s="139"/>
      <c r="C50" s="139"/>
      <c r="D50" s="139"/>
    </row>
    <row r="51" spans="1:4" x14ac:dyDescent="0.15">
      <c r="A51" s="139"/>
      <c r="B51" s="139"/>
      <c r="C51" s="139"/>
      <c r="D51" s="139"/>
    </row>
    <row r="52" spans="1:4" x14ac:dyDescent="0.15">
      <c r="A52" s="139"/>
      <c r="B52" s="139"/>
      <c r="C52" s="139"/>
      <c r="D52" s="139"/>
    </row>
  </sheetData>
  <phoneticPr fontId="23" type="noConversion"/>
  <printOptions horizontalCentered="1"/>
  <pageMargins left="0.9" right="0.9" top="0.9" bottom="0.9" header="0.5" footer="0.5"/>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6"/>
  <sheetViews>
    <sheetView topLeftCell="A13" zoomScale="225" zoomScaleNormal="150" workbookViewId="0">
      <selection activeCell="A43" sqref="A43:XFD56"/>
    </sheetView>
  </sheetViews>
  <sheetFormatPr baseColWidth="10" defaultRowHeight="13" x14ac:dyDescent="0.15"/>
  <cols>
    <col min="1" max="1" width="47.1640625" style="340" customWidth="1"/>
    <col min="2" max="2" width="12.83203125" style="340" customWidth="1"/>
    <col min="3" max="3" width="11.1640625" style="340" bestFit="1" customWidth="1"/>
    <col min="4" max="4" width="12.33203125" style="340" customWidth="1"/>
    <col min="5" max="5" width="10.83203125" style="340"/>
    <col min="6" max="6" width="35.1640625" style="340" customWidth="1"/>
    <col min="7" max="16384" width="10.83203125" style="340"/>
  </cols>
  <sheetData>
    <row r="1" spans="1:9" ht="18" x14ac:dyDescent="0.2">
      <c r="A1" s="357" t="s">
        <v>73</v>
      </c>
      <c r="B1" s="358"/>
      <c r="C1" s="359"/>
      <c r="D1" s="360"/>
      <c r="E1" s="353"/>
    </row>
    <row r="2" spans="1:9" x14ac:dyDescent="0.15">
      <c r="A2" s="361"/>
      <c r="D2" s="362"/>
      <c r="E2" s="353"/>
    </row>
    <row r="3" spans="1:9" ht="16" x14ac:dyDescent="0.2">
      <c r="A3" s="363" t="s">
        <v>233</v>
      </c>
      <c r="C3" s="341"/>
      <c r="D3" s="362"/>
      <c r="E3" s="353"/>
    </row>
    <row r="4" spans="1:9" x14ac:dyDescent="0.15">
      <c r="A4" s="361"/>
      <c r="C4" s="341"/>
      <c r="D4" s="362"/>
      <c r="E4" s="353"/>
    </row>
    <row r="5" spans="1:9" x14ac:dyDescent="0.15">
      <c r="A5" s="364" t="s">
        <v>145</v>
      </c>
      <c r="C5" s="341"/>
      <c r="D5" s="362"/>
      <c r="E5" s="353"/>
    </row>
    <row r="6" spans="1:9" x14ac:dyDescent="0.15">
      <c r="A6" s="364" t="s">
        <v>235</v>
      </c>
      <c r="C6" s="341"/>
      <c r="D6" s="362"/>
      <c r="E6" s="353"/>
    </row>
    <row r="7" spans="1:9" x14ac:dyDescent="0.15">
      <c r="A7" s="361"/>
      <c r="C7" s="343"/>
      <c r="D7" s="365"/>
      <c r="E7" s="353"/>
    </row>
    <row r="8" spans="1:9" x14ac:dyDescent="0.15">
      <c r="A8" s="364" t="s">
        <v>236</v>
      </c>
      <c r="C8" s="343" t="s">
        <v>83</v>
      </c>
      <c r="D8" s="365" t="s">
        <v>83</v>
      </c>
      <c r="E8" s="354"/>
    </row>
    <row r="9" spans="1:9" x14ac:dyDescent="0.15">
      <c r="A9" s="361"/>
      <c r="B9" s="340" t="s">
        <v>42</v>
      </c>
      <c r="C9" s="344">
        <v>14304.12</v>
      </c>
      <c r="D9" s="366"/>
      <c r="E9" s="354"/>
    </row>
    <row r="10" spans="1:9" x14ac:dyDescent="0.15">
      <c r="A10" s="361"/>
      <c r="B10" s="340" t="s">
        <v>56</v>
      </c>
      <c r="C10" s="344">
        <v>4713.8500000000004</v>
      </c>
      <c r="D10" s="366"/>
      <c r="E10" s="354"/>
    </row>
    <row r="11" spans="1:9" x14ac:dyDescent="0.15">
      <c r="A11" s="361"/>
      <c r="C11" s="344"/>
      <c r="D11" s="366">
        <f>C9+C10</f>
        <v>19017.97</v>
      </c>
      <c r="E11" s="354"/>
    </row>
    <row r="12" spans="1:9" x14ac:dyDescent="0.15">
      <c r="A12" s="364" t="s">
        <v>342</v>
      </c>
      <c r="C12" s="344"/>
      <c r="D12" s="366">
        <v>0</v>
      </c>
      <c r="E12" s="354"/>
    </row>
    <row r="13" spans="1:9" x14ac:dyDescent="0.15">
      <c r="A13" s="361"/>
      <c r="C13" s="344"/>
      <c r="D13" s="366"/>
      <c r="E13" s="354"/>
      <c r="F13" s="345"/>
      <c r="G13" s="346"/>
      <c r="H13" s="347"/>
      <c r="I13" s="347"/>
    </row>
    <row r="14" spans="1:9" x14ac:dyDescent="0.15">
      <c r="A14" s="364" t="s">
        <v>237</v>
      </c>
      <c r="C14" s="344"/>
      <c r="D14" s="366"/>
      <c r="E14" s="354"/>
      <c r="F14" s="348"/>
      <c r="G14" s="342"/>
      <c r="H14" s="347"/>
      <c r="I14" s="347"/>
    </row>
    <row r="15" spans="1:9" x14ac:dyDescent="0.15">
      <c r="A15" s="367"/>
      <c r="B15" s="347"/>
      <c r="C15" s="344"/>
      <c r="D15" s="366"/>
      <c r="E15" s="354"/>
      <c r="F15" s="349"/>
      <c r="G15" s="350"/>
      <c r="I15" s="351"/>
    </row>
    <row r="16" spans="1:9" ht="14" x14ac:dyDescent="0.15">
      <c r="A16" s="368" t="s">
        <v>393</v>
      </c>
      <c r="B16" s="347">
        <v>1746.5</v>
      </c>
      <c r="D16" s="366"/>
      <c r="E16" s="354"/>
      <c r="F16" s="349"/>
      <c r="G16" s="350"/>
      <c r="I16" s="351"/>
    </row>
    <row r="17" spans="1:13" ht="14" x14ac:dyDescent="0.15">
      <c r="A17" s="367" t="s">
        <v>394</v>
      </c>
      <c r="B17" s="347">
        <v>103</v>
      </c>
      <c r="D17" s="366"/>
      <c r="E17" s="354"/>
      <c r="F17" s="349"/>
      <c r="G17" s="350"/>
      <c r="I17" s="351"/>
    </row>
    <row r="18" spans="1:13" ht="14" x14ac:dyDescent="0.15">
      <c r="A18" s="367" t="s">
        <v>395</v>
      </c>
      <c r="B18" s="347">
        <v>629.63</v>
      </c>
      <c r="D18" s="366"/>
      <c r="E18" s="354"/>
      <c r="F18" s="348"/>
      <c r="G18" s="346"/>
      <c r="H18" s="347"/>
      <c r="I18" s="347"/>
    </row>
    <row r="19" spans="1:13" ht="14" x14ac:dyDescent="0.15">
      <c r="A19" s="368" t="s">
        <v>396</v>
      </c>
      <c r="B19" s="347">
        <v>154</v>
      </c>
      <c r="D19" s="366"/>
      <c r="E19" s="354"/>
      <c r="F19" s="348"/>
      <c r="G19" s="346"/>
      <c r="H19" s="347"/>
      <c r="I19" s="347"/>
    </row>
    <row r="20" spans="1:13" ht="14" x14ac:dyDescent="0.15">
      <c r="A20" s="368" t="s">
        <v>397</v>
      </c>
      <c r="B20" s="347">
        <v>69</v>
      </c>
      <c r="D20" s="366"/>
      <c r="E20" s="354"/>
      <c r="F20" s="345"/>
      <c r="G20" s="346"/>
      <c r="H20" s="347"/>
      <c r="I20" s="347"/>
    </row>
    <row r="21" spans="1:13" x14ac:dyDescent="0.15">
      <c r="A21" s="361"/>
      <c r="D21" s="366">
        <f>-SUM(B15:B21)</f>
        <v>-2702.13</v>
      </c>
      <c r="E21" s="354"/>
      <c r="F21" s="348"/>
      <c r="G21" s="346"/>
      <c r="H21" s="347"/>
      <c r="I21" s="347"/>
    </row>
    <row r="22" spans="1:13" x14ac:dyDescent="0.15">
      <c r="A22" s="361"/>
      <c r="D22" s="362"/>
      <c r="E22" s="354"/>
      <c r="F22" s="348"/>
      <c r="G22" s="342"/>
      <c r="H22" s="347"/>
      <c r="I22" s="347"/>
    </row>
    <row r="23" spans="1:13" x14ac:dyDescent="0.15">
      <c r="A23" s="361"/>
      <c r="C23" s="344"/>
      <c r="D23" s="366"/>
      <c r="E23" s="354"/>
      <c r="F23" s="349"/>
      <c r="G23" s="350"/>
      <c r="I23" s="351"/>
    </row>
    <row r="24" spans="1:13" x14ac:dyDescent="0.15">
      <c r="A24" s="364" t="s">
        <v>238</v>
      </c>
      <c r="C24" s="344">
        <v>0</v>
      </c>
      <c r="D24" s="366">
        <v>0</v>
      </c>
      <c r="E24" s="354"/>
      <c r="F24" s="345"/>
      <c r="G24" s="346"/>
      <c r="H24" s="347"/>
      <c r="I24" s="347"/>
      <c r="J24" s="344"/>
    </row>
    <row r="25" spans="1:13" x14ac:dyDescent="0.15">
      <c r="A25" s="361"/>
      <c r="C25" s="344"/>
      <c r="D25" s="366"/>
      <c r="E25" s="354"/>
      <c r="J25" s="344"/>
    </row>
    <row r="26" spans="1:13" x14ac:dyDescent="0.15">
      <c r="A26" s="364" t="s">
        <v>239</v>
      </c>
      <c r="C26" s="344"/>
      <c r="D26" s="366">
        <f>SUM(D9:D25)</f>
        <v>16315.84</v>
      </c>
      <c r="E26" s="354"/>
      <c r="H26" s="342"/>
      <c r="I26" s="342"/>
    </row>
    <row r="27" spans="1:13" x14ac:dyDescent="0.15">
      <c r="A27" s="361"/>
      <c r="C27" s="344"/>
      <c r="D27" s="366"/>
      <c r="E27" s="354"/>
      <c r="F27" s="344"/>
      <c r="I27" s="344"/>
      <c r="J27" s="344"/>
    </row>
    <row r="28" spans="1:13" x14ac:dyDescent="0.15">
      <c r="A28" s="361" t="s">
        <v>118</v>
      </c>
      <c r="C28" s="344"/>
      <c r="D28" s="366"/>
      <c r="E28" s="353"/>
      <c r="I28" s="342"/>
    </row>
    <row r="29" spans="1:13" x14ac:dyDescent="0.15">
      <c r="A29" s="361"/>
      <c r="C29" s="344"/>
      <c r="D29" s="366"/>
      <c r="E29" s="353"/>
    </row>
    <row r="30" spans="1:13" x14ac:dyDescent="0.15">
      <c r="A30" s="361" t="s">
        <v>119</v>
      </c>
      <c r="C30" s="344"/>
      <c r="D30" s="366"/>
      <c r="E30" s="353"/>
      <c r="J30" s="344"/>
      <c r="K30" s="344"/>
      <c r="M30" s="344"/>
    </row>
    <row r="31" spans="1:13" x14ac:dyDescent="0.15">
      <c r="A31" s="369" t="s">
        <v>240</v>
      </c>
      <c r="C31" s="344"/>
      <c r="D31" s="366"/>
      <c r="E31" s="353"/>
      <c r="H31" s="342"/>
      <c r="J31" s="342"/>
      <c r="K31" s="342"/>
      <c r="M31" s="342"/>
    </row>
    <row r="32" spans="1:13" x14ac:dyDescent="0.15">
      <c r="A32" s="370"/>
      <c r="B32" s="340" t="s">
        <v>42</v>
      </c>
      <c r="C32" s="344">
        <f>'Cash Book 2020-21'!F15</f>
        <v>11746.49</v>
      </c>
      <c r="D32" s="366"/>
      <c r="E32" s="353"/>
    </row>
    <row r="33" spans="1:5" x14ac:dyDescent="0.15">
      <c r="A33" s="370"/>
      <c r="B33" s="340" t="s">
        <v>56</v>
      </c>
      <c r="C33" s="344">
        <f>'Cash Book 2020-21'!F55</f>
        <v>4711.6899999999996</v>
      </c>
      <c r="D33" s="366"/>
      <c r="E33" s="353"/>
    </row>
    <row r="34" spans="1:5" x14ac:dyDescent="0.15">
      <c r="A34" s="370"/>
      <c r="C34" s="344"/>
      <c r="D34" s="366">
        <f>C32+C33</f>
        <v>16458.18</v>
      </c>
      <c r="E34" s="353"/>
    </row>
    <row r="35" spans="1:5" x14ac:dyDescent="0.15">
      <c r="A35" s="370"/>
      <c r="C35" s="344"/>
      <c r="D35" s="366"/>
      <c r="E35" s="353"/>
    </row>
    <row r="36" spans="1:5" x14ac:dyDescent="0.15">
      <c r="A36" s="370" t="s">
        <v>120</v>
      </c>
      <c r="C36" s="344"/>
      <c r="D36" s="366">
        <f>'Cash Book 2020-21'!D60</f>
        <v>5362.16</v>
      </c>
      <c r="E36" s="353"/>
    </row>
    <row r="37" spans="1:5" x14ac:dyDescent="0.15">
      <c r="A37" s="370" t="s">
        <v>130</v>
      </c>
      <c r="C37" s="344"/>
      <c r="D37" s="366">
        <f>-'Cash Book 2020-21'!E60</f>
        <v>-5504.5</v>
      </c>
      <c r="E37" s="353"/>
    </row>
    <row r="38" spans="1:5" x14ac:dyDescent="0.15">
      <c r="A38" s="361"/>
      <c r="C38" s="344"/>
      <c r="D38" s="366"/>
      <c r="E38" s="353"/>
    </row>
    <row r="39" spans="1:5" x14ac:dyDescent="0.15">
      <c r="A39" s="364" t="s">
        <v>241</v>
      </c>
      <c r="C39" s="344"/>
      <c r="D39" s="366">
        <f>SUM(D31:D37)</f>
        <v>16315.84</v>
      </c>
      <c r="E39" s="353"/>
    </row>
    <row r="40" spans="1:5" s="371" customFormat="1" ht="14" thickBot="1" x14ac:dyDescent="0.2">
      <c r="A40" s="398"/>
      <c r="B40" s="399"/>
      <c r="C40" s="400"/>
      <c r="D40" s="401"/>
      <c r="E40" s="372"/>
    </row>
    <row r="41" spans="1:5" s="31" customFormat="1" x14ac:dyDescent="0.15">
      <c r="D41" s="373"/>
    </row>
    <row r="42" spans="1:5" s="142" customFormat="1" x14ac:dyDescent="0.15">
      <c r="C42" s="141"/>
    </row>
    <row r="43" spans="1:5" s="142" customFormat="1" x14ac:dyDescent="0.15">
      <c r="C43" s="141"/>
      <c r="D43" s="141"/>
      <c r="E43" s="141"/>
    </row>
    <row r="44" spans="1:5" s="142" customFormat="1" x14ac:dyDescent="0.15">
      <c r="C44" s="141"/>
    </row>
    <row r="45" spans="1:5" s="142" customFormat="1" x14ac:dyDescent="0.15">
      <c r="A45" s="141"/>
      <c r="B45" s="141"/>
    </row>
    <row r="46" spans="1:5" s="142" customFormat="1" x14ac:dyDescent="0.15">
      <c r="C46" s="141"/>
    </row>
    <row r="47" spans="1:5" s="142" customFormat="1" x14ac:dyDescent="0.15">
      <c r="C47" s="141"/>
      <c r="D47" s="141"/>
      <c r="E47" s="141"/>
    </row>
    <row r="48" spans="1:5" s="142" customFormat="1" x14ac:dyDescent="0.15">
      <c r="C48" s="141"/>
      <c r="D48" s="141"/>
      <c r="E48" s="141"/>
    </row>
    <row r="49" spans="1:5" s="142" customFormat="1" x14ac:dyDescent="0.15">
      <c r="C49" s="141"/>
      <c r="D49" s="141"/>
      <c r="E49" s="141"/>
    </row>
    <row r="50" spans="1:5" s="142" customFormat="1" x14ac:dyDescent="0.15">
      <c r="C50" s="141"/>
      <c r="D50" s="141"/>
      <c r="E50" s="141"/>
    </row>
    <row r="51" spans="1:5" s="355" customFormat="1" x14ac:dyDescent="0.15">
      <c r="C51" s="356"/>
      <c r="D51" s="356"/>
      <c r="E51" s="356"/>
    </row>
    <row r="52" spans="1:5" x14ac:dyDescent="0.15">
      <c r="A52" s="342"/>
      <c r="C52" s="341"/>
      <c r="D52" s="341"/>
      <c r="E52" s="341"/>
    </row>
    <row r="55" spans="1:5" x14ac:dyDescent="0.15">
      <c r="A55" s="352"/>
      <c r="B55" s="351"/>
    </row>
    <row r="56" spans="1:5" x14ac:dyDescent="0.15">
      <c r="A56" s="352"/>
      <c r="B56" s="351"/>
    </row>
  </sheetData>
  <phoneticPr fontId="23" type="noConversion"/>
  <printOptions horizontalCentered="1"/>
  <pageMargins left="0.8" right="0.8" top="1" bottom="1" header="0.5" footer="0.5"/>
  <pageSetup paperSize="9" scale="95"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46DC-46F9-2E42-9FC0-3B68A5B89C4A}">
  <sheetPr>
    <pageSetUpPr fitToPage="1"/>
  </sheetPr>
  <dimension ref="A1:V38"/>
  <sheetViews>
    <sheetView topLeftCell="A9" zoomScale="150" zoomScaleNormal="150" workbookViewId="0">
      <selection activeCell="M33" sqref="M33"/>
    </sheetView>
  </sheetViews>
  <sheetFormatPr baseColWidth="10" defaultColWidth="9.1640625" defaultRowHeight="14" x14ac:dyDescent="0.15"/>
  <cols>
    <col min="1" max="1" width="10.83203125" style="279" customWidth="1"/>
    <col min="2" max="2" width="9.1640625" style="279"/>
    <col min="3" max="3" width="15.5" style="279" customWidth="1"/>
    <col min="4" max="4" width="9.1640625" style="279"/>
    <col min="5" max="5" width="2.5" style="279" customWidth="1"/>
    <col min="6" max="6" width="9.1640625" style="279"/>
    <col min="7" max="7" width="8.5" style="279" customWidth="1"/>
    <col min="8" max="8" width="9" style="279" customWidth="1"/>
    <col min="9" max="11" width="9.1640625" style="279" hidden="1" customWidth="1"/>
    <col min="12" max="12" width="11.83203125" style="279" customWidth="1"/>
    <col min="13" max="13" width="34.1640625" style="278" customWidth="1"/>
    <col min="14" max="14" width="31.6640625" style="279" customWidth="1"/>
    <col min="15" max="256" width="9.1640625" style="279"/>
    <col min="257" max="257" width="10.83203125" style="279" customWidth="1"/>
    <col min="258" max="258" width="9.1640625" style="279"/>
    <col min="259" max="259" width="32.5" style="279" customWidth="1"/>
    <col min="260" max="260" width="9.1640625" style="279"/>
    <col min="261" max="261" width="3.33203125" style="279" customWidth="1"/>
    <col min="262" max="262" width="9.1640625" style="279"/>
    <col min="263" max="263" width="10.1640625" style="279" customWidth="1"/>
    <col min="264" max="264" width="9.5" style="279" customWidth="1"/>
    <col min="265" max="267" width="0" style="279" hidden="1" customWidth="1"/>
    <col min="268" max="268" width="13.33203125" style="279" customWidth="1"/>
    <col min="269" max="269" width="50.5" style="279" bestFit="1" customWidth="1"/>
    <col min="270" max="270" width="95.1640625" style="279" customWidth="1"/>
    <col min="271" max="512" width="9.1640625" style="279"/>
    <col min="513" max="513" width="10.83203125" style="279" customWidth="1"/>
    <col min="514" max="514" width="9.1640625" style="279"/>
    <col min="515" max="515" width="32.5" style="279" customWidth="1"/>
    <col min="516" max="516" width="9.1640625" style="279"/>
    <col min="517" max="517" width="3.33203125" style="279" customWidth="1"/>
    <col min="518" max="518" width="9.1640625" style="279"/>
    <col min="519" max="519" width="10.1640625" style="279" customWidth="1"/>
    <col min="520" max="520" width="9.5" style="279" customWidth="1"/>
    <col min="521" max="523" width="0" style="279" hidden="1" customWidth="1"/>
    <col min="524" max="524" width="13.33203125" style="279" customWidth="1"/>
    <col min="525" max="525" width="50.5" style="279" bestFit="1" customWidth="1"/>
    <col min="526" max="526" width="95.1640625" style="279" customWidth="1"/>
    <col min="527" max="768" width="9.1640625" style="279"/>
    <col min="769" max="769" width="10.83203125" style="279" customWidth="1"/>
    <col min="770" max="770" width="9.1640625" style="279"/>
    <col min="771" max="771" width="32.5" style="279" customWidth="1"/>
    <col min="772" max="772" width="9.1640625" style="279"/>
    <col min="773" max="773" width="3.33203125" style="279" customWidth="1"/>
    <col min="774" max="774" width="9.1640625" style="279"/>
    <col min="775" max="775" width="10.1640625" style="279" customWidth="1"/>
    <col min="776" max="776" width="9.5" style="279" customWidth="1"/>
    <col min="777" max="779" width="0" style="279" hidden="1" customWidth="1"/>
    <col min="780" max="780" width="13.33203125" style="279" customWidth="1"/>
    <col min="781" max="781" width="50.5" style="279" bestFit="1" customWidth="1"/>
    <col min="782" max="782" width="95.1640625" style="279" customWidth="1"/>
    <col min="783" max="1024" width="9.1640625" style="279"/>
    <col min="1025" max="1025" width="10.83203125" style="279" customWidth="1"/>
    <col min="1026" max="1026" width="9.1640625" style="279"/>
    <col min="1027" max="1027" width="32.5" style="279" customWidth="1"/>
    <col min="1028" max="1028" width="9.1640625" style="279"/>
    <col min="1029" max="1029" width="3.33203125" style="279" customWidth="1"/>
    <col min="1030" max="1030" width="9.1640625" style="279"/>
    <col min="1031" max="1031" width="10.1640625" style="279" customWidth="1"/>
    <col min="1032" max="1032" width="9.5" style="279" customWidth="1"/>
    <col min="1033" max="1035" width="0" style="279" hidden="1" customWidth="1"/>
    <col min="1036" max="1036" width="13.33203125" style="279" customWidth="1"/>
    <col min="1037" max="1037" width="50.5" style="279" bestFit="1" customWidth="1"/>
    <col min="1038" max="1038" width="95.1640625" style="279" customWidth="1"/>
    <col min="1039" max="1280" width="9.1640625" style="279"/>
    <col min="1281" max="1281" width="10.83203125" style="279" customWidth="1"/>
    <col min="1282" max="1282" width="9.1640625" style="279"/>
    <col min="1283" max="1283" width="32.5" style="279" customWidth="1"/>
    <col min="1284" max="1284" width="9.1640625" style="279"/>
    <col min="1285" max="1285" width="3.33203125" style="279" customWidth="1"/>
    <col min="1286" max="1286" width="9.1640625" style="279"/>
    <col min="1287" max="1287" width="10.1640625" style="279" customWidth="1"/>
    <col min="1288" max="1288" width="9.5" style="279" customWidth="1"/>
    <col min="1289" max="1291" width="0" style="279" hidden="1" customWidth="1"/>
    <col min="1292" max="1292" width="13.33203125" style="279" customWidth="1"/>
    <col min="1293" max="1293" width="50.5" style="279" bestFit="1" customWidth="1"/>
    <col min="1294" max="1294" width="95.1640625" style="279" customWidth="1"/>
    <col min="1295" max="1536" width="9.1640625" style="279"/>
    <col min="1537" max="1537" width="10.83203125" style="279" customWidth="1"/>
    <col min="1538" max="1538" width="9.1640625" style="279"/>
    <col min="1539" max="1539" width="32.5" style="279" customWidth="1"/>
    <col min="1540" max="1540" width="9.1640625" style="279"/>
    <col min="1541" max="1541" width="3.33203125" style="279" customWidth="1"/>
    <col min="1542" max="1542" width="9.1640625" style="279"/>
    <col min="1543" max="1543" width="10.1640625" style="279" customWidth="1"/>
    <col min="1544" max="1544" width="9.5" style="279" customWidth="1"/>
    <col min="1545" max="1547" width="0" style="279" hidden="1" customWidth="1"/>
    <col min="1548" max="1548" width="13.33203125" style="279" customWidth="1"/>
    <col min="1549" max="1549" width="50.5" style="279" bestFit="1" customWidth="1"/>
    <col min="1550" max="1550" width="95.1640625" style="279" customWidth="1"/>
    <col min="1551" max="1792" width="9.1640625" style="279"/>
    <col min="1793" max="1793" width="10.83203125" style="279" customWidth="1"/>
    <col min="1794" max="1794" width="9.1640625" style="279"/>
    <col min="1795" max="1795" width="32.5" style="279" customWidth="1"/>
    <col min="1796" max="1796" width="9.1640625" style="279"/>
    <col min="1797" max="1797" width="3.33203125" style="279" customWidth="1"/>
    <col min="1798" max="1798" width="9.1640625" style="279"/>
    <col min="1799" max="1799" width="10.1640625" style="279" customWidth="1"/>
    <col min="1800" max="1800" width="9.5" style="279" customWidth="1"/>
    <col min="1801" max="1803" width="0" style="279" hidden="1" customWidth="1"/>
    <col min="1804" max="1804" width="13.33203125" style="279" customWidth="1"/>
    <col min="1805" max="1805" width="50.5" style="279" bestFit="1" customWidth="1"/>
    <col min="1806" max="1806" width="95.1640625" style="279" customWidth="1"/>
    <col min="1807" max="2048" width="9.1640625" style="279"/>
    <col min="2049" max="2049" width="10.83203125" style="279" customWidth="1"/>
    <col min="2050" max="2050" width="9.1640625" style="279"/>
    <col min="2051" max="2051" width="32.5" style="279" customWidth="1"/>
    <col min="2052" max="2052" width="9.1640625" style="279"/>
    <col min="2053" max="2053" width="3.33203125" style="279" customWidth="1"/>
    <col min="2054" max="2054" width="9.1640625" style="279"/>
    <col min="2055" max="2055" width="10.1640625" style="279" customWidth="1"/>
    <col min="2056" max="2056" width="9.5" style="279" customWidth="1"/>
    <col min="2057" max="2059" width="0" style="279" hidden="1" customWidth="1"/>
    <col min="2060" max="2060" width="13.33203125" style="279" customWidth="1"/>
    <col min="2061" max="2061" width="50.5" style="279" bestFit="1" customWidth="1"/>
    <col min="2062" max="2062" width="95.1640625" style="279" customWidth="1"/>
    <col min="2063" max="2304" width="9.1640625" style="279"/>
    <col min="2305" max="2305" width="10.83203125" style="279" customWidth="1"/>
    <col min="2306" max="2306" width="9.1640625" style="279"/>
    <col min="2307" max="2307" width="32.5" style="279" customWidth="1"/>
    <col min="2308" max="2308" width="9.1640625" style="279"/>
    <col min="2309" max="2309" width="3.33203125" style="279" customWidth="1"/>
    <col min="2310" max="2310" width="9.1640625" style="279"/>
    <col min="2311" max="2311" width="10.1640625" style="279" customWidth="1"/>
    <col min="2312" max="2312" width="9.5" style="279" customWidth="1"/>
    <col min="2313" max="2315" width="0" style="279" hidden="1" customWidth="1"/>
    <col min="2316" max="2316" width="13.33203125" style="279" customWidth="1"/>
    <col min="2317" max="2317" width="50.5" style="279" bestFit="1" customWidth="1"/>
    <col min="2318" max="2318" width="95.1640625" style="279" customWidth="1"/>
    <col min="2319" max="2560" width="9.1640625" style="279"/>
    <col min="2561" max="2561" width="10.83203125" style="279" customWidth="1"/>
    <col min="2562" max="2562" width="9.1640625" style="279"/>
    <col min="2563" max="2563" width="32.5" style="279" customWidth="1"/>
    <col min="2564" max="2564" width="9.1640625" style="279"/>
    <col min="2565" max="2565" width="3.33203125" style="279" customWidth="1"/>
    <col min="2566" max="2566" width="9.1640625" style="279"/>
    <col min="2567" max="2567" width="10.1640625" style="279" customWidth="1"/>
    <col min="2568" max="2568" width="9.5" style="279" customWidth="1"/>
    <col min="2569" max="2571" width="0" style="279" hidden="1" customWidth="1"/>
    <col min="2572" max="2572" width="13.33203125" style="279" customWidth="1"/>
    <col min="2573" max="2573" width="50.5" style="279" bestFit="1" customWidth="1"/>
    <col min="2574" max="2574" width="95.1640625" style="279" customWidth="1"/>
    <col min="2575" max="2816" width="9.1640625" style="279"/>
    <col min="2817" max="2817" width="10.83203125" style="279" customWidth="1"/>
    <col min="2818" max="2818" width="9.1640625" style="279"/>
    <col min="2819" max="2819" width="32.5" style="279" customWidth="1"/>
    <col min="2820" max="2820" width="9.1640625" style="279"/>
    <col min="2821" max="2821" width="3.33203125" style="279" customWidth="1"/>
    <col min="2822" max="2822" width="9.1640625" style="279"/>
    <col min="2823" max="2823" width="10.1640625" style="279" customWidth="1"/>
    <col min="2824" max="2824" width="9.5" style="279" customWidth="1"/>
    <col min="2825" max="2827" width="0" style="279" hidden="1" customWidth="1"/>
    <col min="2828" max="2828" width="13.33203125" style="279" customWidth="1"/>
    <col min="2829" max="2829" width="50.5" style="279" bestFit="1" customWidth="1"/>
    <col min="2830" max="2830" width="95.1640625" style="279" customWidth="1"/>
    <col min="2831" max="3072" width="9.1640625" style="279"/>
    <col min="3073" max="3073" width="10.83203125" style="279" customWidth="1"/>
    <col min="3074" max="3074" width="9.1640625" style="279"/>
    <col min="3075" max="3075" width="32.5" style="279" customWidth="1"/>
    <col min="3076" max="3076" width="9.1640625" style="279"/>
    <col min="3077" max="3077" width="3.33203125" style="279" customWidth="1"/>
    <col min="3078" max="3078" width="9.1640625" style="279"/>
    <col min="3079" max="3079" width="10.1640625" style="279" customWidth="1"/>
    <col min="3080" max="3080" width="9.5" style="279" customWidth="1"/>
    <col min="3081" max="3083" width="0" style="279" hidden="1" customWidth="1"/>
    <col min="3084" max="3084" width="13.33203125" style="279" customWidth="1"/>
    <col min="3085" max="3085" width="50.5" style="279" bestFit="1" customWidth="1"/>
    <col min="3086" max="3086" width="95.1640625" style="279" customWidth="1"/>
    <col min="3087" max="3328" width="9.1640625" style="279"/>
    <col min="3329" max="3329" width="10.83203125" style="279" customWidth="1"/>
    <col min="3330" max="3330" width="9.1640625" style="279"/>
    <col min="3331" max="3331" width="32.5" style="279" customWidth="1"/>
    <col min="3332" max="3332" width="9.1640625" style="279"/>
    <col min="3333" max="3333" width="3.33203125" style="279" customWidth="1"/>
    <col min="3334" max="3334" width="9.1640625" style="279"/>
    <col min="3335" max="3335" width="10.1640625" style="279" customWidth="1"/>
    <col min="3336" max="3336" width="9.5" style="279" customWidth="1"/>
    <col min="3337" max="3339" width="0" style="279" hidden="1" customWidth="1"/>
    <col min="3340" max="3340" width="13.33203125" style="279" customWidth="1"/>
    <col min="3341" max="3341" width="50.5" style="279" bestFit="1" customWidth="1"/>
    <col min="3342" max="3342" width="95.1640625" style="279" customWidth="1"/>
    <col min="3343" max="3584" width="9.1640625" style="279"/>
    <col min="3585" max="3585" width="10.83203125" style="279" customWidth="1"/>
    <col min="3586" max="3586" width="9.1640625" style="279"/>
    <col min="3587" max="3587" width="32.5" style="279" customWidth="1"/>
    <col min="3588" max="3588" width="9.1640625" style="279"/>
    <col min="3589" max="3589" width="3.33203125" style="279" customWidth="1"/>
    <col min="3590" max="3590" width="9.1640625" style="279"/>
    <col min="3591" max="3591" width="10.1640625" style="279" customWidth="1"/>
    <col min="3592" max="3592" width="9.5" style="279" customWidth="1"/>
    <col min="3593" max="3595" width="0" style="279" hidden="1" customWidth="1"/>
    <col min="3596" max="3596" width="13.33203125" style="279" customWidth="1"/>
    <col min="3597" max="3597" width="50.5" style="279" bestFit="1" customWidth="1"/>
    <col min="3598" max="3598" width="95.1640625" style="279" customWidth="1"/>
    <col min="3599" max="3840" width="9.1640625" style="279"/>
    <col min="3841" max="3841" width="10.83203125" style="279" customWidth="1"/>
    <col min="3842" max="3842" width="9.1640625" style="279"/>
    <col min="3843" max="3843" width="32.5" style="279" customWidth="1"/>
    <col min="3844" max="3844" width="9.1640625" style="279"/>
    <col min="3845" max="3845" width="3.33203125" style="279" customWidth="1"/>
    <col min="3846" max="3846" width="9.1640625" style="279"/>
    <col min="3847" max="3847" width="10.1640625" style="279" customWidth="1"/>
    <col min="3848" max="3848" width="9.5" style="279" customWidth="1"/>
    <col min="3849" max="3851" width="0" style="279" hidden="1" customWidth="1"/>
    <col min="3852" max="3852" width="13.33203125" style="279" customWidth="1"/>
    <col min="3853" max="3853" width="50.5" style="279" bestFit="1" customWidth="1"/>
    <col min="3854" max="3854" width="95.1640625" style="279" customWidth="1"/>
    <col min="3855" max="4096" width="9.1640625" style="279"/>
    <col min="4097" max="4097" width="10.83203125" style="279" customWidth="1"/>
    <col min="4098" max="4098" width="9.1640625" style="279"/>
    <col min="4099" max="4099" width="32.5" style="279" customWidth="1"/>
    <col min="4100" max="4100" width="9.1640625" style="279"/>
    <col min="4101" max="4101" width="3.33203125" style="279" customWidth="1"/>
    <col min="4102" max="4102" width="9.1640625" style="279"/>
    <col min="4103" max="4103" width="10.1640625" style="279" customWidth="1"/>
    <col min="4104" max="4104" width="9.5" style="279" customWidth="1"/>
    <col min="4105" max="4107" width="0" style="279" hidden="1" customWidth="1"/>
    <col min="4108" max="4108" width="13.33203125" style="279" customWidth="1"/>
    <col min="4109" max="4109" width="50.5" style="279" bestFit="1" customWidth="1"/>
    <col min="4110" max="4110" width="95.1640625" style="279" customWidth="1"/>
    <col min="4111" max="4352" width="9.1640625" style="279"/>
    <col min="4353" max="4353" width="10.83203125" style="279" customWidth="1"/>
    <col min="4354" max="4354" width="9.1640625" style="279"/>
    <col min="4355" max="4355" width="32.5" style="279" customWidth="1"/>
    <col min="4356" max="4356" width="9.1640625" style="279"/>
    <col min="4357" max="4357" width="3.33203125" style="279" customWidth="1"/>
    <col min="4358" max="4358" width="9.1640625" style="279"/>
    <col min="4359" max="4359" width="10.1640625" style="279" customWidth="1"/>
    <col min="4360" max="4360" width="9.5" style="279" customWidth="1"/>
    <col min="4361" max="4363" width="0" style="279" hidden="1" customWidth="1"/>
    <col min="4364" max="4364" width="13.33203125" style="279" customWidth="1"/>
    <col min="4365" max="4365" width="50.5" style="279" bestFit="1" customWidth="1"/>
    <col min="4366" max="4366" width="95.1640625" style="279" customWidth="1"/>
    <col min="4367" max="4608" width="9.1640625" style="279"/>
    <col min="4609" max="4609" width="10.83203125" style="279" customWidth="1"/>
    <col min="4610" max="4610" width="9.1640625" style="279"/>
    <col min="4611" max="4611" width="32.5" style="279" customWidth="1"/>
    <col min="4612" max="4612" width="9.1640625" style="279"/>
    <col min="4613" max="4613" width="3.33203125" style="279" customWidth="1"/>
    <col min="4614" max="4614" width="9.1640625" style="279"/>
    <col min="4615" max="4615" width="10.1640625" style="279" customWidth="1"/>
    <col min="4616" max="4616" width="9.5" style="279" customWidth="1"/>
    <col min="4617" max="4619" width="0" style="279" hidden="1" customWidth="1"/>
    <col min="4620" max="4620" width="13.33203125" style="279" customWidth="1"/>
    <col min="4621" max="4621" width="50.5" style="279" bestFit="1" customWidth="1"/>
    <col min="4622" max="4622" width="95.1640625" style="279" customWidth="1"/>
    <col min="4623" max="4864" width="9.1640625" style="279"/>
    <col min="4865" max="4865" width="10.83203125" style="279" customWidth="1"/>
    <col min="4866" max="4866" width="9.1640625" style="279"/>
    <col min="4867" max="4867" width="32.5" style="279" customWidth="1"/>
    <col min="4868" max="4868" width="9.1640625" style="279"/>
    <col min="4869" max="4869" width="3.33203125" style="279" customWidth="1"/>
    <col min="4870" max="4870" width="9.1640625" style="279"/>
    <col min="4871" max="4871" width="10.1640625" style="279" customWidth="1"/>
    <col min="4872" max="4872" width="9.5" style="279" customWidth="1"/>
    <col min="4873" max="4875" width="0" style="279" hidden="1" customWidth="1"/>
    <col min="4876" max="4876" width="13.33203125" style="279" customWidth="1"/>
    <col min="4877" max="4877" width="50.5" style="279" bestFit="1" customWidth="1"/>
    <col min="4878" max="4878" width="95.1640625" style="279" customWidth="1"/>
    <col min="4879" max="5120" width="9.1640625" style="279"/>
    <col min="5121" max="5121" width="10.83203125" style="279" customWidth="1"/>
    <col min="5122" max="5122" width="9.1640625" style="279"/>
    <col min="5123" max="5123" width="32.5" style="279" customWidth="1"/>
    <col min="5124" max="5124" width="9.1640625" style="279"/>
    <col min="5125" max="5125" width="3.33203125" style="279" customWidth="1"/>
    <col min="5126" max="5126" width="9.1640625" style="279"/>
    <col min="5127" max="5127" width="10.1640625" style="279" customWidth="1"/>
    <col min="5128" max="5128" width="9.5" style="279" customWidth="1"/>
    <col min="5129" max="5131" width="0" style="279" hidden="1" customWidth="1"/>
    <col min="5132" max="5132" width="13.33203125" style="279" customWidth="1"/>
    <col min="5133" max="5133" width="50.5" style="279" bestFit="1" customWidth="1"/>
    <col min="5134" max="5134" width="95.1640625" style="279" customWidth="1"/>
    <col min="5135" max="5376" width="9.1640625" style="279"/>
    <col min="5377" max="5377" width="10.83203125" style="279" customWidth="1"/>
    <col min="5378" max="5378" width="9.1640625" style="279"/>
    <col min="5379" max="5379" width="32.5" style="279" customWidth="1"/>
    <col min="5380" max="5380" width="9.1640625" style="279"/>
    <col min="5381" max="5381" width="3.33203125" style="279" customWidth="1"/>
    <col min="5382" max="5382" width="9.1640625" style="279"/>
    <col min="5383" max="5383" width="10.1640625" style="279" customWidth="1"/>
    <col min="5384" max="5384" width="9.5" style="279" customWidth="1"/>
    <col min="5385" max="5387" width="0" style="279" hidden="1" customWidth="1"/>
    <col min="5388" max="5388" width="13.33203125" style="279" customWidth="1"/>
    <col min="5389" max="5389" width="50.5" style="279" bestFit="1" customWidth="1"/>
    <col min="5390" max="5390" width="95.1640625" style="279" customWidth="1"/>
    <col min="5391" max="5632" width="9.1640625" style="279"/>
    <col min="5633" max="5633" width="10.83203125" style="279" customWidth="1"/>
    <col min="5634" max="5634" width="9.1640625" style="279"/>
    <col min="5635" max="5635" width="32.5" style="279" customWidth="1"/>
    <col min="5636" max="5636" width="9.1640625" style="279"/>
    <col min="5637" max="5637" width="3.33203125" style="279" customWidth="1"/>
    <col min="5638" max="5638" width="9.1640625" style="279"/>
    <col min="5639" max="5639" width="10.1640625" style="279" customWidth="1"/>
    <col min="5640" max="5640" width="9.5" style="279" customWidth="1"/>
    <col min="5641" max="5643" width="0" style="279" hidden="1" customWidth="1"/>
    <col min="5644" max="5644" width="13.33203125" style="279" customWidth="1"/>
    <col min="5645" max="5645" width="50.5" style="279" bestFit="1" customWidth="1"/>
    <col min="5646" max="5646" width="95.1640625" style="279" customWidth="1"/>
    <col min="5647" max="5888" width="9.1640625" style="279"/>
    <col min="5889" max="5889" width="10.83203125" style="279" customWidth="1"/>
    <col min="5890" max="5890" width="9.1640625" style="279"/>
    <col min="5891" max="5891" width="32.5" style="279" customWidth="1"/>
    <col min="5892" max="5892" width="9.1640625" style="279"/>
    <col min="5893" max="5893" width="3.33203125" style="279" customWidth="1"/>
    <col min="5894" max="5894" width="9.1640625" style="279"/>
    <col min="5895" max="5895" width="10.1640625" style="279" customWidth="1"/>
    <col min="5896" max="5896" width="9.5" style="279" customWidth="1"/>
    <col min="5897" max="5899" width="0" style="279" hidden="1" customWidth="1"/>
    <col min="5900" max="5900" width="13.33203125" style="279" customWidth="1"/>
    <col min="5901" max="5901" width="50.5" style="279" bestFit="1" customWidth="1"/>
    <col min="5902" max="5902" width="95.1640625" style="279" customWidth="1"/>
    <col min="5903" max="6144" width="9.1640625" style="279"/>
    <col min="6145" max="6145" width="10.83203125" style="279" customWidth="1"/>
    <col min="6146" max="6146" width="9.1640625" style="279"/>
    <col min="6147" max="6147" width="32.5" style="279" customWidth="1"/>
    <col min="6148" max="6148" width="9.1640625" style="279"/>
    <col min="6149" max="6149" width="3.33203125" style="279" customWidth="1"/>
    <col min="6150" max="6150" width="9.1640625" style="279"/>
    <col min="6151" max="6151" width="10.1640625" style="279" customWidth="1"/>
    <col min="6152" max="6152" width="9.5" style="279" customWidth="1"/>
    <col min="6153" max="6155" width="0" style="279" hidden="1" customWidth="1"/>
    <col min="6156" max="6156" width="13.33203125" style="279" customWidth="1"/>
    <col min="6157" max="6157" width="50.5" style="279" bestFit="1" customWidth="1"/>
    <col min="6158" max="6158" width="95.1640625" style="279" customWidth="1"/>
    <col min="6159" max="6400" width="9.1640625" style="279"/>
    <col min="6401" max="6401" width="10.83203125" style="279" customWidth="1"/>
    <col min="6402" max="6402" width="9.1640625" style="279"/>
    <col min="6403" max="6403" width="32.5" style="279" customWidth="1"/>
    <col min="6404" max="6404" width="9.1640625" style="279"/>
    <col min="6405" max="6405" width="3.33203125" style="279" customWidth="1"/>
    <col min="6406" max="6406" width="9.1640625" style="279"/>
    <col min="6407" max="6407" width="10.1640625" style="279" customWidth="1"/>
    <col min="6408" max="6408" width="9.5" style="279" customWidth="1"/>
    <col min="6409" max="6411" width="0" style="279" hidden="1" customWidth="1"/>
    <col min="6412" max="6412" width="13.33203125" style="279" customWidth="1"/>
    <col min="6413" max="6413" width="50.5" style="279" bestFit="1" customWidth="1"/>
    <col min="6414" max="6414" width="95.1640625" style="279" customWidth="1"/>
    <col min="6415" max="6656" width="9.1640625" style="279"/>
    <col min="6657" max="6657" width="10.83203125" style="279" customWidth="1"/>
    <col min="6658" max="6658" width="9.1640625" style="279"/>
    <col min="6659" max="6659" width="32.5" style="279" customWidth="1"/>
    <col min="6660" max="6660" width="9.1640625" style="279"/>
    <col min="6661" max="6661" width="3.33203125" style="279" customWidth="1"/>
    <col min="6662" max="6662" width="9.1640625" style="279"/>
    <col min="6663" max="6663" width="10.1640625" style="279" customWidth="1"/>
    <col min="6664" max="6664" width="9.5" style="279" customWidth="1"/>
    <col min="6665" max="6667" width="0" style="279" hidden="1" customWidth="1"/>
    <col min="6668" max="6668" width="13.33203125" style="279" customWidth="1"/>
    <col min="6669" max="6669" width="50.5" style="279" bestFit="1" customWidth="1"/>
    <col min="6670" max="6670" width="95.1640625" style="279" customWidth="1"/>
    <col min="6671" max="6912" width="9.1640625" style="279"/>
    <col min="6913" max="6913" width="10.83203125" style="279" customWidth="1"/>
    <col min="6914" max="6914" width="9.1640625" style="279"/>
    <col min="6915" max="6915" width="32.5" style="279" customWidth="1"/>
    <col min="6916" max="6916" width="9.1640625" style="279"/>
    <col min="6917" max="6917" width="3.33203125" style="279" customWidth="1"/>
    <col min="6918" max="6918" width="9.1640625" style="279"/>
    <col min="6919" max="6919" width="10.1640625" style="279" customWidth="1"/>
    <col min="6920" max="6920" width="9.5" style="279" customWidth="1"/>
    <col min="6921" max="6923" width="0" style="279" hidden="1" customWidth="1"/>
    <col min="6924" max="6924" width="13.33203125" style="279" customWidth="1"/>
    <col min="6925" max="6925" width="50.5" style="279" bestFit="1" customWidth="1"/>
    <col min="6926" max="6926" width="95.1640625" style="279" customWidth="1"/>
    <col min="6927" max="7168" width="9.1640625" style="279"/>
    <col min="7169" max="7169" width="10.83203125" style="279" customWidth="1"/>
    <col min="7170" max="7170" width="9.1640625" style="279"/>
    <col min="7171" max="7171" width="32.5" style="279" customWidth="1"/>
    <col min="7172" max="7172" width="9.1640625" style="279"/>
    <col min="7173" max="7173" width="3.33203125" style="279" customWidth="1"/>
    <col min="7174" max="7174" width="9.1640625" style="279"/>
    <col min="7175" max="7175" width="10.1640625" style="279" customWidth="1"/>
    <col min="7176" max="7176" width="9.5" style="279" customWidth="1"/>
    <col min="7177" max="7179" width="0" style="279" hidden="1" customWidth="1"/>
    <col min="7180" max="7180" width="13.33203125" style="279" customWidth="1"/>
    <col min="7181" max="7181" width="50.5" style="279" bestFit="1" customWidth="1"/>
    <col min="7182" max="7182" width="95.1640625" style="279" customWidth="1"/>
    <col min="7183" max="7424" width="9.1640625" style="279"/>
    <col min="7425" max="7425" width="10.83203125" style="279" customWidth="1"/>
    <col min="7426" max="7426" width="9.1640625" style="279"/>
    <col min="7427" max="7427" width="32.5" style="279" customWidth="1"/>
    <col min="7428" max="7428" width="9.1640625" style="279"/>
    <col min="7429" max="7429" width="3.33203125" style="279" customWidth="1"/>
    <col min="7430" max="7430" width="9.1640625" style="279"/>
    <col min="7431" max="7431" width="10.1640625" style="279" customWidth="1"/>
    <col min="7432" max="7432" width="9.5" style="279" customWidth="1"/>
    <col min="7433" max="7435" width="0" style="279" hidden="1" customWidth="1"/>
    <col min="7436" max="7436" width="13.33203125" style="279" customWidth="1"/>
    <col min="7437" max="7437" width="50.5" style="279" bestFit="1" customWidth="1"/>
    <col min="7438" max="7438" width="95.1640625" style="279" customWidth="1"/>
    <col min="7439" max="7680" width="9.1640625" style="279"/>
    <col min="7681" max="7681" width="10.83203125" style="279" customWidth="1"/>
    <col min="7682" max="7682" width="9.1640625" style="279"/>
    <col min="7683" max="7683" width="32.5" style="279" customWidth="1"/>
    <col min="7684" max="7684" width="9.1640625" style="279"/>
    <col min="7685" max="7685" width="3.33203125" style="279" customWidth="1"/>
    <col min="7686" max="7686" width="9.1640625" style="279"/>
    <col min="7687" max="7687" width="10.1640625" style="279" customWidth="1"/>
    <col min="7688" max="7688" width="9.5" style="279" customWidth="1"/>
    <col min="7689" max="7691" width="0" style="279" hidden="1" customWidth="1"/>
    <col min="7692" max="7692" width="13.33203125" style="279" customWidth="1"/>
    <col min="7693" max="7693" width="50.5" style="279" bestFit="1" customWidth="1"/>
    <col min="7694" max="7694" width="95.1640625" style="279" customWidth="1"/>
    <col min="7695" max="7936" width="9.1640625" style="279"/>
    <col min="7937" max="7937" width="10.83203125" style="279" customWidth="1"/>
    <col min="7938" max="7938" width="9.1640625" style="279"/>
    <col min="7939" max="7939" width="32.5" style="279" customWidth="1"/>
    <col min="7940" max="7940" width="9.1640625" style="279"/>
    <col min="7941" max="7941" width="3.33203125" style="279" customWidth="1"/>
    <col min="7942" max="7942" width="9.1640625" style="279"/>
    <col min="7943" max="7943" width="10.1640625" style="279" customWidth="1"/>
    <col min="7944" max="7944" width="9.5" style="279" customWidth="1"/>
    <col min="7945" max="7947" width="0" style="279" hidden="1" customWidth="1"/>
    <col min="7948" max="7948" width="13.33203125" style="279" customWidth="1"/>
    <col min="7949" max="7949" width="50.5" style="279" bestFit="1" customWidth="1"/>
    <col min="7950" max="7950" width="95.1640625" style="279" customWidth="1"/>
    <col min="7951" max="8192" width="9.1640625" style="279"/>
    <col min="8193" max="8193" width="10.83203125" style="279" customWidth="1"/>
    <col min="8194" max="8194" width="9.1640625" style="279"/>
    <col min="8195" max="8195" width="32.5" style="279" customWidth="1"/>
    <col min="8196" max="8196" width="9.1640625" style="279"/>
    <col min="8197" max="8197" width="3.33203125" style="279" customWidth="1"/>
    <col min="8198" max="8198" width="9.1640625" style="279"/>
    <col min="8199" max="8199" width="10.1640625" style="279" customWidth="1"/>
    <col min="8200" max="8200" width="9.5" style="279" customWidth="1"/>
    <col min="8201" max="8203" width="0" style="279" hidden="1" customWidth="1"/>
    <col min="8204" max="8204" width="13.33203125" style="279" customWidth="1"/>
    <col min="8205" max="8205" width="50.5" style="279" bestFit="1" customWidth="1"/>
    <col min="8206" max="8206" width="95.1640625" style="279" customWidth="1"/>
    <col min="8207" max="8448" width="9.1640625" style="279"/>
    <col min="8449" max="8449" width="10.83203125" style="279" customWidth="1"/>
    <col min="8450" max="8450" width="9.1640625" style="279"/>
    <col min="8451" max="8451" width="32.5" style="279" customWidth="1"/>
    <col min="8452" max="8452" width="9.1640625" style="279"/>
    <col min="8453" max="8453" width="3.33203125" style="279" customWidth="1"/>
    <col min="8454" max="8454" width="9.1640625" style="279"/>
    <col min="8455" max="8455" width="10.1640625" style="279" customWidth="1"/>
    <col min="8456" max="8456" width="9.5" style="279" customWidth="1"/>
    <col min="8457" max="8459" width="0" style="279" hidden="1" customWidth="1"/>
    <col min="8460" max="8460" width="13.33203125" style="279" customWidth="1"/>
    <col min="8461" max="8461" width="50.5" style="279" bestFit="1" customWidth="1"/>
    <col min="8462" max="8462" width="95.1640625" style="279" customWidth="1"/>
    <col min="8463" max="8704" width="9.1640625" style="279"/>
    <col min="8705" max="8705" width="10.83203125" style="279" customWidth="1"/>
    <col min="8706" max="8706" width="9.1640625" style="279"/>
    <col min="8707" max="8707" width="32.5" style="279" customWidth="1"/>
    <col min="8708" max="8708" width="9.1640625" style="279"/>
    <col min="8709" max="8709" width="3.33203125" style="279" customWidth="1"/>
    <col min="8710" max="8710" width="9.1640625" style="279"/>
    <col min="8711" max="8711" width="10.1640625" style="279" customWidth="1"/>
    <col min="8712" max="8712" width="9.5" style="279" customWidth="1"/>
    <col min="8713" max="8715" width="0" style="279" hidden="1" customWidth="1"/>
    <col min="8716" max="8716" width="13.33203125" style="279" customWidth="1"/>
    <col min="8717" max="8717" width="50.5" style="279" bestFit="1" customWidth="1"/>
    <col min="8718" max="8718" width="95.1640625" style="279" customWidth="1"/>
    <col min="8719" max="8960" width="9.1640625" style="279"/>
    <col min="8961" max="8961" width="10.83203125" style="279" customWidth="1"/>
    <col min="8962" max="8962" width="9.1640625" style="279"/>
    <col min="8963" max="8963" width="32.5" style="279" customWidth="1"/>
    <col min="8964" max="8964" width="9.1640625" style="279"/>
    <col min="8965" max="8965" width="3.33203125" style="279" customWidth="1"/>
    <col min="8966" max="8966" width="9.1640625" style="279"/>
    <col min="8967" max="8967" width="10.1640625" style="279" customWidth="1"/>
    <col min="8968" max="8968" width="9.5" style="279" customWidth="1"/>
    <col min="8969" max="8971" width="0" style="279" hidden="1" customWidth="1"/>
    <col min="8972" max="8972" width="13.33203125" style="279" customWidth="1"/>
    <col min="8973" max="8973" width="50.5" style="279" bestFit="1" customWidth="1"/>
    <col min="8974" max="8974" width="95.1640625" style="279" customWidth="1"/>
    <col min="8975" max="9216" width="9.1640625" style="279"/>
    <col min="9217" max="9217" width="10.83203125" style="279" customWidth="1"/>
    <col min="9218" max="9218" width="9.1640625" style="279"/>
    <col min="9219" max="9219" width="32.5" style="279" customWidth="1"/>
    <col min="9220" max="9220" width="9.1640625" style="279"/>
    <col min="9221" max="9221" width="3.33203125" style="279" customWidth="1"/>
    <col min="9222" max="9222" width="9.1640625" style="279"/>
    <col min="9223" max="9223" width="10.1640625" style="279" customWidth="1"/>
    <col min="9224" max="9224" width="9.5" style="279" customWidth="1"/>
    <col min="9225" max="9227" width="0" style="279" hidden="1" customWidth="1"/>
    <col min="9228" max="9228" width="13.33203125" style="279" customWidth="1"/>
    <col min="9229" max="9229" width="50.5" style="279" bestFit="1" customWidth="1"/>
    <col min="9230" max="9230" width="95.1640625" style="279" customWidth="1"/>
    <col min="9231" max="9472" width="9.1640625" style="279"/>
    <col min="9473" max="9473" width="10.83203125" style="279" customWidth="1"/>
    <col min="9474" max="9474" width="9.1640625" style="279"/>
    <col min="9475" max="9475" width="32.5" style="279" customWidth="1"/>
    <col min="9476" max="9476" width="9.1640625" style="279"/>
    <col min="9477" max="9477" width="3.33203125" style="279" customWidth="1"/>
    <col min="9478" max="9478" width="9.1640625" style="279"/>
    <col min="9479" max="9479" width="10.1640625" style="279" customWidth="1"/>
    <col min="9480" max="9480" width="9.5" style="279" customWidth="1"/>
    <col min="9481" max="9483" width="0" style="279" hidden="1" customWidth="1"/>
    <col min="9484" max="9484" width="13.33203125" style="279" customWidth="1"/>
    <col min="9485" max="9485" width="50.5" style="279" bestFit="1" customWidth="1"/>
    <col min="9486" max="9486" width="95.1640625" style="279" customWidth="1"/>
    <col min="9487" max="9728" width="9.1640625" style="279"/>
    <col min="9729" max="9729" width="10.83203125" style="279" customWidth="1"/>
    <col min="9730" max="9730" width="9.1640625" style="279"/>
    <col min="9731" max="9731" width="32.5" style="279" customWidth="1"/>
    <col min="9732" max="9732" width="9.1640625" style="279"/>
    <col min="9733" max="9733" width="3.33203125" style="279" customWidth="1"/>
    <col min="9734" max="9734" width="9.1640625" style="279"/>
    <col min="9735" max="9735" width="10.1640625" style="279" customWidth="1"/>
    <col min="9736" max="9736" width="9.5" style="279" customWidth="1"/>
    <col min="9737" max="9739" width="0" style="279" hidden="1" customWidth="1"/>
    <col min="9740" max="9740" width="13.33203125" style="279" customWidth="1"/>
    <col min="9741" max="9741" width="50.5" style="279" bestFit="1" customWidth="1"/>
    <col min="9742" max="9742" width="95.1640625" style="279" customWidth="1"/>
    <col min="9743" max="9984" width="9.1640625" style="279"/>
    <col min="9985" max="9985" width="10.83203125" style="279" customWidth="1"/>
    <col min="9986" max="9986" width="9.1640625" style="279"/>
    <col min="9987" max="9987" width="32.5" style="279" customWidth="1"/>
    <col min="9988" max="9988" width="9.1640625" style="279"/>
    <col min="9989" max="9989" width="3.33203125" style="279" customWidth="1"/>
    <col min="9990" max="9990" width="9.1640625" style="279"/>
    <col min="9991" max="9991" width="10.1640625" style="279" customWidth="1"/>
    <col min="9992" max="9992" width="9.5" style="279" customWidth="1"/>
    <col min="9993" max="9995" width="0" style="279" hidden="1" customWidth="1"/>
    <col min="9996" max="9996" width="13.33203125" style="279" customWidth="1"/>
    <col min="9997" max="9997" width="50.5" style="279" bestFit="1" customWidth="1"/>
    <col min="9998" max="9998" width="95.1640625" style="279" customWidth="1"/>
    <col min="9999" max="10240" width="9.1640625" style="279"/>
    <col min="10241" max="10241" width="10.83203125" style="279" customWidth="1"/>
    <col min="10242" max="10242" width="9.1640625" style="279"/>
    <col min="10243" max="10243" width="32.5" style="279" customWidth="1"/>
    <col min="10244" max="10244" width="9.1640625" style="279"/>
    <col min="10245" max="10245" width="3.33203125" style="279" customWidth="1"/>
    <col min="10246" max="10246" width="9.1640625" style="279"/>
    <col min="10247" max="10247" width="10.1640625" style="279" customWidth="1"/>
    <col min="10248" max="10248" width="9.5" style="279" customWidth="1"/>
    <col min="10249" max="10251" width="0" style="279" hidden="1" customWidth="1"/>
    <col min="10252" max="10252" width="13.33203125" style="279" customWidth="1"/>
    <col min="10253" max="10253" width="50.5" style="279" bestFit="1" customWidth="1"/>
    <col min="10254" max="10254" width="95.1640625" style="279" customWidth="1"/>
    <col min="10255" max="10496" width="9.1640625" style="279"/>
    <col min="10497" max="10497" width="10.83203125" style="279" customWidth="1"/>
    <col min="10498" max="10498" width="9.1640625" style="279"/>
    <col min="10499" max="10499" width="32.5" style="279" customWidth="1"/>
    <col min="10500" max="10500" width="9.1640625" style="279"/>
    <col min="10501" max="10501" width="3.33203125" style="279" customWidth="1"/>
    <col min="10502" max="10502" width="9.1640625" style="279"/>
    <col min="10503" max="10503" width="10.1640625" style="279" customWidth="1"/>
    <col min="10504" max="10504" width="9.5" style="279" customWidth="1"/>
    <col min="10505" max="10507" width="0" style="279" hidden="1" customWidth="1"/>
    <col min="10508" max="10508" width="13.33203125" style="279" customWidth="1"/>
    <col min="10509" max="10509" width="50.5" style="279" bestFit="1" customWidth="1"/>
    <col min="10510" max="10510" width="95.1640625" style="279" customWidth="1"/>
    <col min="10511" max="10752" width="9.1640625" style="279"/>
    <col min="10753" max="10753" width="10.83203125" style="279" customWidth="1"/>
    <col min="10754" max="10754" width="9.1640625" style="279"/>
    <col min="10755" max="10755" width="32.5" style="279" customWidth="1"/>
    <col min="10756" max="10756" width="9.1640625" style="279"/>
    <col min="10757" max="10757" width="3.33203125" style="279" customWidth="1"/>
    <col min="10758" max="10758" width="9.1640625" style="279"/>
    <col min="10759" max="10759" width="10.1640625" style="279" customWidth="1"/>
    <col min="10760" max="10760" width="9.5" style="279" customWidth="1"/>
    <col min="10761" max="10763" width="0" style="279" hidden="1" customWidth="1"/>
    <col min="10764" max="10764" width="13.33203125" style="279" customWidth="1"/>
    <col min="10765" max="10765" width="50.5" style="279" bestFit="1" customWidth="1"/>
    <col min="10766" max="10766" width="95.1640625" style="279" customWidth="1"/>
    <col min="10767" max="11008" width="9.1640625" style="279"/>
    <col min="11009" max="11009" width="10.83203125" style="279" customWidth="1"/>
    <col min="11010" max="11010" width="9.1640625" style="279"/>
    <col min="11011" max="11011" width="32.5" style="279" customWidth="1"/>
    <col min="11012" max="11012" width="9.1640625" style="279"/>
    <col min="11013" max="11013" width="3.33203125" style="279" customWidth="1"/>
    <col min="11014" max="11014" width="9.1640625" style="279"/>
    <col min="11015" max="11015" width="10.1640625" style="279" customWidth="1"/>
    <col min="11016" max="11016" width="9.5" style="279" customWidth="1"/>
    <col min="11017" max="11019" width="0" style="279" hidden="1" customWidth="1"/>
    <col min="11020" max="11020" width="13.33203125" style="279" customWidth="1"/>
    <col min="11021" max="11021" width="50.5" style="279" bestFit="1" customWidth="1"/>
    <col min="11022" max="11022" width="95.1640625" style="279" customWidth="1"/>
    <col min="11023" max="11264" width="9.1640625" style="279"/>
    <col min="11265" max="11265" width="10.83203125" style="279" customWidth="1"/>
    <col min="11266" max="11266" width="9.1640625" style="279"/>
    <col min="11267" max="11267" width="32.5" style="279" customWidth="1"/>
    <col min="11268" max="11268" width="9.1640625" style="279"/>
    <col min="11269" max="11269" width="3.33203125" style="279" customWidth="1"/>
    <col min="11270" max="11270" width="9.1640625" style="279"/>
    <col min="11271" max="11271" width="10.1640625" style="279" customWidth="1"/>
    <col min="11272" max="11272" width="9.5" style="279" customWidth="1"/>
    <col min="11273" max="11275" width="0" style="279" hidden="1" customWidth="1"/>
    <col min="11276" max="11276" width="13.33203125" style="279" customWidth="1"/>
    <col min="11277" max="11277" width="50.5" style="279" bestFit="1" customWidth="1"/>
    <col min="11278" max="11278" width="95.1640625" style="279" customWidth="1"/>
    <col min="11279" max="11520" width="9.1640625" style="279"/>
    <col min="11521" max="11521" width="10.83203125" style="279" customWidth="1"/>
    <col min="11522" max="11522" width="9.1640625" style="279"/>
    <col min="11523" max="11523" width="32.5" style="279" customWidth="1"/>
    <col min="11524" max="11524" width="9.1640625" style="279"/>
    <col min="11525" max="11525" width="3.33203125" style="279" customWidth="1"/>
    <col min="11526" max="11526" width="9.1640625" style="279"/>
    <col min="11527" max="11527" width="10.1640625" style="279" customWidth="1"/>
    <col min="11528" max="11528" width="9.5" style="279" customWidth="1"/>
    <col min="11529" max="11531" width="0" style="279" hidden="1" customWidth="1"/>
    <col min="11532" max="11532" width="13.33203125" style="279" customWidth="1"/>
    <col min="11533" max="11533" width="50.5" style="279" bestFit="1" customWidth="1"/>
    <col min="11534" max="11534" width="95.1640625" style="279" customWidth="1"/>
    <col min="11535" max="11776" width="9.1640625" style="279"/>
    <col min="11777" max="11777" width="10.83203125" style="279" customWidth="1"/>
    <col min="11778" max="11778" width="9.1640625" style="279"/>
    <col min="11779" max="11779" width="32.5" style="279" customWidth="1"/>
    <col min="11780" max="11780" width="9.1640625" style="279"/>
    <col min="11781" max="11781" width="3.33203125" style="279" customWidth="1"/>
    <col min="11782" max="11782" width="9.1640625" style="279"/>
    <col min="11783" max="11783" width="10.1640625" style="279" customWidth="1"/>
    <col min="11784" max="11784" width="9.5" style="279" customWidth="1"/>
    <col min="11785" max="11787" width="0" style="279" hidden="1" customWidth="1"/>
    <col min="11788" max="11788" width="13.33203125" style="279" customWidth="1"/>
    <col min="11789" max="11789" width="50.5" style="279" bestFit="1" customWidth="1"/>
    <col min="11790" max="11790" width="95.1640625" style="279" customWidth="1"/>
    <col min="11791" max="12032" width="9.1640625" style="279"/>
    <col min="12033" max="12033" width="10.83203125" style="279" customWidth="1"/>
    <col min="12034" max="12034" width="9.1640625" style="279"/>
    <col min="12035" max="12035" width="32.5" style="279" customWidth="1"/>
    <col min="12036" max="12036" width="9.1640625" style="279"/>
    <col min="12037" max="12037" width="3.33203125" style="279" customWidth="1"/>
    <col min="12038" max="12038" width="9.1640625" style="279"/>
    <col min="12039" max="12039" width="10.1640625" style="279" customWidth="1"/>
    <col min="12040" max="12040" width="9.5" style="279" customWidth="1"/>
    <col min="12041" max="12043" width="0" style="279" hidden="1" customWidth="1"/>
    <col min="12044" max="12044" width="13.33203125" style="279" customWidth="1"/>
    <col min="12045" max="12045" width="50.5" style="279" bestFit="1" customWidth="1"/>
    <col min="12046" max="12046" width="95.1640625" style="279" customWidth="1"/>
    <col min="12047" max="12288" width="9.1640625" style="279"/>
    <col min="12289" max="12289" width="10.83203125" style="279" customWidth="1"/>
    <col min="12290" max="12290" width="9.1640625" style="279"/>
    <col min="12291" max="12291" width="32.5" style="279" customWidth="1"/>
    <col min="12292" max="12292" width="9.1640625" style="279"/>
    <col min="12293" max="12293" width="3.33203125" style="279" customWidth="1"/>
    <col min="12294" max="12294" width="9.1640625" style="279"/>
    <col min="12295" max="12295" width="10.1640625" style="279" customWidth="1"/>
    <col min="12296" max="12296" width="9.5" style="279" customWidth="1"/>
    <col min="12297" max="12299" width="0" style="279" hidden="1" customWidth="1"/>
    <col min="12300" max="12300" width="13.33203125" style="279" customWidth="1"/>
    <col min="12301" max="12301" width="50.5" style="279" bestFit="1" customWidth="1"/>
    <col min="12302" max="12302" width="95.1640625" style="279" customWidth="1"/>
    <col min="12303" max="12544" width="9.1640625" style="279"/>
    <col min="12545" max="12545" width="10.83203125" style="279" customWidth="1"/>
    <col min="12546" max="12546" width="9.1640625" style="279"/>
    <col min="12547" max="12547" width="32.5" style="279" customWidth="1"/>
    <col min="12548" max="12548" width="9.1640625" style="279"/>
    <col min="12549" max="12549" width="3.33203125" style="279" customWidth="1"/>
    <col min="12550" max="12550" width="9.1640625" style="279"/>
    <col min="12551" max="12551" width="10.1640625" style="279" customWidth="1"/>
    <col min="12552" max="12552" width="9.5" style="279" customWidth="1"/>
    <col min="12553" max="12555" width="0" style="279" hidden="1" customWidth="1"/>
    <col min="12556" max="12556" width="13.33203125" style="279" customWidth="1"/>
    <col min="12557" max="12557" width="50.5" style="279" bestFit="1" customWidth="1"/>
    <col min="12558" max="12558" width="95.1640625" style="279" customWidth="1"/>
    <col min="12559" max="12800" width="9.1640625" style="279"/>
    <col min="12801" max="12801" width="10.83203125" style="279" customWidth="1"/>
    <col min="12802" max="12802" width="9.1640625" style="279"/>
    <col min="12803" max="12803" width="32.5" style="279" customWidth="1"/>
    <col min="12804" max="12804" width="9.1640625" style="279"/>
    <col min="12805" max="12805" width="3.33203125" style="279" customWidth="1"/>
    <col min="12806" max="12806" width="9.1640625" style="279"/>
    <col min="12807" max="12807" width="10.1640625" style="279" customWidth="1"/>
    <col min="12808" max="12808" width="9.5" style="279" customWidth="1"/>
    <col min="12809" max="12811" width="0" style="279" hidden="1" customWidth="1"/>
    <col min="12812" max="12812" width="13.33203125" style="279" customWidth="1"/>
    <col min="12813" max="12813" width="50.5" style="279" bestFit="1" customWidth="1"/>
    <col min="12814" max="12814" width="95.1640625" style="279" customWidth="1"/>
    <col min="12815" max="13056" width="9.1640625" style="279"/>
    <col min="13057" max="13057" width="10.83203125" style="279" customWidth="1"/>
    <col min="13058" max="13058" width="9.1640625" style="279"/>
    <col min="13059" max="13059" width="32.5" style="279" customWidth="1"/>
    <col min="13060" max="13060" width="9.1640625" style="279"/>
    <col min="13061" max="13061" width="3.33203125" style="279" customWidth="1"/>
    <col min="13062" max="13062" width="9.1640625" style="279"/>
    <col min="13063" max="13063" width="10.1640625" style="279" customWidth="1"/>
    <col min="13064" max="13064" width="9.5" style="279" customWidth="1"/>
    <col min="13065" max="13067" width="0" style="279" hidden="1" customWidth="1"/>
    <col min="13068" max="13068" width="13.33203125" style="279" customWidth="1"/>
    <col min="13069" max="13069" width="50.5" style="279" bestFit="1" customWidth="1"/>
    <col min="13070" max="13070" width="95.1640625" style="279" customWidth="1"/>
    <col min="13071" max="13312" width="9.1640625" style="279"/>
    <col min="13313" max="13313" width="10.83203125" style="279" customWidth="1"/>
    <col min="13314" max="13314" width="9.1640625" style="279"/>
    <col min="13315" max="13315" width="32.5" style="279" customWidth="1"/>
    <col min="13316" max="13316" width="9.1640625" style="279"/>
    <col min="13317" max="13317" width="3.33203125" style="279" customWidth="1"/>
    <col min="13318" max="13318" width="9.1640625" style="279"/>
    <col min="13319" max="13319" width="10.1640625" style="279" customWidth="1"/>
    <col min="13320" max="13320" width="9.5" style="279" customWidth="1"/>
    <col min="13321" max="13323" width="0" style="279" hidden="1" customWidth="1"/>
    <col min="13324" max="13324" width="13.33203125" style="279" customWidth="1"/>
    <col min="13325" max="13325" width="50.5" style="279" bestFit="1" customWidth="1"/>
    <col min="13326" max="13326" width="95.1640625" style="279" customWidth="1"/>
    <col min="13327" max="13568" width="9.1640625" style="279"/>
    <col min="13569" max="13569" width="10.83203125" style="279" customWidth="1"/>
    <col min="13570" max="13570" width="9.1640625" style="279"/>
    <col min="13571" max="13571" width="32.5" style="279" customWidth="1"/>
    <col min="13572" max="13572" width="9.1640625" style="279"/>
    <col min="13573" max="13573" width="3.33203125" style="279" customWidth="1"/>
    <col min="13574" max="13574" width="9.1640625" style="279"/>
    <col min="13575" max="13575" width="10.1640625" style="279" customWidth="1"/>
    <col min="13576" max="13576" width="9.5" style="279" customWidth="1"/>
    <col min="13577" max="13579" width="0" style="279" hidden="1" customWidth="1"/>
    <col min="13580" max="13580" width="13.33203125" style="279" customWidth="1"/>
    <col min="13581" max="13581" width="50.5" style="279" bestFit="1" customWidth="1"/>
    <col min="13582" max="13582" width="95.1640625" style="279" customWidth="1"/>
    <col min="13583" max="13824" width="9.1640625" style="279"/>
    <col min="13825" max="13825" width="10.83203125" style="279" customWidth="1"/>
    <col min="13826" max="13826" width="9.1640625" style="279"/>
    <col min="13827" max="13827" width="32.5" style="279" customWidth="1"/>
    <col min="13828" max="13828" width="9.1640625" style="279"/>
    <col min="13829" max="13829" width="3.33203125" style="279" customWidth="1"/>
    <col min="13830" max="13830" width="9.1640625" style="279"/>
    <col min="13831" max="13831" width="10.1640625" style="279" customWidth="1"/>
    <col min="13832" max="13832" width="9.5" style="279" customWidth="1"/>
    <col min="13833" max="13835" width="0" style="279" hidden="1" customWidth="1"/>
    <col min="13836" max="13836" width="13.33203125" style="279" customWidth="1"/>
    <col min="13837" max="13837" width="50.5" style="279" bestFit="1" customWidth="1"/>
    <col min="13838" max="13838" width="95.1640625" style="279" customWidth="1"/>
    <col min="13839" max="14080" width="9.1640625" style="279"/>
    <col min="14081" max="14081" width="10.83203125" style="279" customWidth="1"/>
    <col min="14082" max="14082" width="9.1640625" style="279"/>
    <col min="14083" max="14083" width="32.5" style="279" customWidth="1"/>
    <col min="14084" max="14084" width="9.1640625" style="279"/>
    <col min="14085" max="14085" width="3.33203125" style="279" customWidth="1"/>
    <col min="14086" max="14086" width="9.1640625" style="279"/>
    <col min="14087" max="14087" width="10.1640625" style="279" customWidth="1"/>
    <col min="14088" max="14088" width="9.5" style="279" customWidth="1"/>
    <col min="14089" max="14091" width="0" style="279" hidden="1" customWidth="1"/>
    <col min="14092" max="14092" width="13.33203125" style="279" customWidth="1"/>
    <col min="14093" max="14093" width="50.5" style="279" bestFit="1" customWidth="1"/>
    <col min="14094" max="14094" width="95.1640625" style="279" customWidth="1"/>
    <col min="14095" max="14336" width="9.1640625" style="279"/>
    <col min="14337" max="14337" width="10.83203125" style="279" customWidth="1"/>
    <col min="14338" max="14338" width="9.1640625" style="279"/>
    <col min="14339" max="14339" width="32.5" style="279" customWidth="1"/>
    <col min="14340" max="14340" width="9.1640625" style="279"/>
    <col min="14341" max="14341" width="3.33203125" style="279" customWidth="1"/>
    <col min="14342" max="14342" width="9.1640625" style="279"/>
    <col min="14343" max="14343" width="10.1640625" style="279" customWidth="1"/>
    <col min="14344" max="14344" width="9.5" style="279" customWidth="1"/>
    <col min="14345" max="14347" width="0" style="279" hidden="1" customWidth="1"/>
    <col min="14348" max="14348" width="13.33203125" style="279" customWidth="1"/>
    <col min="14349" max="14349" width="50.5" style="279" bestFit="1" customWidth="1"/>
    <col min="14350" max="14350" width="95.1640625" style="279" customWidth="1"/>
    <col min="14351" max="14592" width="9.1640625" style="279"/>
    <col min="14593" max="14593" width="10.83203125" style="279" customWidth="1"/>
    <col min="14594" max="14594" width="9.1640625" style="279"/>
    <col min="14595" max="14595" width="32.5" style="279" customWidth="1"/>
    <col min="14596" max="14596" width="9.1640625" style="279"/>
    <col min="14597" max="14597" width="3.33203125" style="279" customWidth="1"/>
    <col min="14598" max="14598" width="9.1640625" style="279"/>
    <col min="14599" max="14599" width="10.1640625" style="279" customWidth="1"/>
    <col min="14600" max="14600" width="9.5" style="279" customWidth="1"/>
    <col min="14601" max="14603" width="0" style="279" hidden="1" customWidth="1"/>
    <col min="14604" max="14604" width="13.33203125" style="279" customWidth="1"/>
    <col min="14605" max="14605" width="50.5" style="279" bestFit="1" customWidth="1"/>
    <col min="14606" max="14606" width="95.1640625" style="279" customWidth="1"/>
    <col min="14607" max="14848" width="9.1640625" style="279"/>
    <col min="14849" max="14849" width="10.83203125" style="279" customWidth="1"/>
    <col min="14850" max="14850" width="9.1640625" style="279"/>
    <col min="14851" max="14851" width="32.5" style="279" customWidth="1"/>
    <col min="14852" max="14852" width="9.1640625" style="279"/>
    <col min="14853" max="14853" width="3.33203125" style="279" customWidth="1"/>
    <col min="14854" max="14854" width="9.1640625" style="279"/>
    <col min="14855" max="14855" width="10.1640625" style="279" customWidth="1"/>
    <col min="14856" max="14856" width="9.5" style="279" customWidth="1"/>
    <col min="14857" max="14859" width="0" style="279" hidden="1" customWidth="1"/>
    <col min="14860" max="14860" width="13.33203125" style="279" customWidth="1"/>
    <col min="14861" max="14861" width="50.5" style="279" bestFit="1" customWidth="1"/>
    <col min="14862" max="14862" width="95.1640625" style="279" customWidth="1"/>
    <col min="14863" max="15104" width="9.1640625" style="279"/>
    <col min="15105" max="15105" width="10.83203125" style="279" customWidth="1"/>
    <col min="15106" max="15106" width="9.1640625" style="279"/>
    <col min="15107" max="15107" width="32.5" style="279" customWidth="1"/>
    <col min="15108" max="15108" width="9.1640625" style="279"/>
    <col min="15109" max="15109" width="3.33203125" style="279" customWidth="1"/>
    <col min="15110" max="15110" width="9.1640625" style="279"/>
    <col min="15111" max="15111" width="10.1640625" style="279" customWidth="1"/>
    <col min="15112" max="15112" width="9.5" style="279" customWidth="1"/>
    <col min="15113" max="15115" width="0" style="279" hidden="1" customWidth="1"/>
    <col min="15116" max="15116" width="13.33203125" style="279" customWidth="1"/>
    <col min="15117" max="15117" width="50.5" style="279" bestFit="1" customWidth="1"/>
    <col min="15118" max="15118" width="95.1640625" style="279" customWidth="1"/>
    <col min="15119" max="15360" width="9.1640625" style="279"/>
    <col min="15361" max="15361" width="10.83203125" style="279" customWidth="1"/>
    <col min="15362" max="15362" width="9.1640625" style="279"/>
    <col min="15363" max="15363" width="32.5" style="279" customWidth="1"/>
    <col min="15364" max="15364" width="9.1640625" style="279"/>
    <col min="15365" max="15365" width="3.33203125" style="279" customWidth="1"/>
    <col min="15366" max="15366" width="9.1640625" style="279"/>
    <col min="15367" max="15367" width="10.1640625" style="279" customWidth="1"/>
    <col min="15368" max="15368" width="9.5" style="279" customWidth="1"/>
    <col min="15369" max="15371" width="0" style="279" hidden="1" customWidth="1"/>
    <col min="15372" max="15372" width="13.33203125" style="279" customWidth="1"/>
    <col min="15373" max="15373" width="50.5" style="279" bestFit="1" customWidth="1"/>
    <col min="15374" max="15374" width="95.1640625" style="279" customWidth="1"/>
    <col min="15375" max="15616" width="9.1640625" style="279"/>
    <col min="15617" max="15617" width="10.83203125" style="279" customWidth="1"/>
    <col min="15618" max="15618" width="9.1640625" style="279"/>
    <col min="15619" max="15619" width="32.5" style="279" customWidth="1"/>
    <col min="15620" max="15620" width="9.1640625" style="279"/>
    <col min="15621" max="15621" width="3.33203125" style="279" customWidth="1"/>
    <col min="15622" max="15622" width="9.1640625" style="279"/>
    <col min="15623" max="15623" width="10.1640625" style="279" customWidth="1"/>
    <col min="15624" max="15624" width="9.5" style="279" customWidth="1"/>
    <col min="15625" max="15627" width="0" style="279" hidden="1" customWidth="1"/>
    <col min="15628" max="15628" width="13.33203125" style="279" customWidth="1"/>
    <col min="15629" max="15629" width="50.5" style="279" bestFit="1" customWidth="1"/>
    <col min="15630" max="15630" width="95.1640625" style="279" customWidth="1"/>
    <col min="15631" max="15872" width="9.1640625" style="279"/>
    <col min="15873" max="15873" width="10.83203125" style="279" customWidth="1"/>
    <col min="15874" max="15874" width="9.1640625" style="279"/>
    <col min="15875" max="15875" width="32.5" style="279" customWidth="1"/>
    <col min="15876" max="15876" width="9.1640625" style="279"/>
    <col min="15877" max="15877" width="3.33203125" style="279" customWidth="1"/>
    <col min="15878" max="15878" width="9.1640625" style="279"/>
    <col min="15879" max="15879" width="10.1640625" style="279" customWidth="1"/>
    <col min="15880" max="15880" width="9.5" style="279" customWidth="1"/>
    <col min="15881" max="15883" width="0" style="279" hidden="1" customWidth="1"/>
    <col min="15884" max="15884" width="13.33203125" style="279" customWidth="1"/>
    <col min="15885" max="15885" width="50.5" style="279" bestFit="1" customWidth="1"/>
    <col min="15886" max="15886" width="95.1640625" style="279" customWidth="1"/>
    <col min="15887" max="16128" width="9.1640625" style="279"/>
    <col min="16129" max="16129" width="10.83203125" style="279" customWidth="1"/>
    <col min="16130" max="16130" width="9.1640625" style="279"/>
    <col min="16131" max="16131" width="32.5" style="279" customWidth="1"/>
    <col min="16132" max="16132" width="9.1640625" style="279"/>
    <col min="16133" max="16133" width="3.33203125" style="279" customWidth="1"/>
    <col min="16134" max="16134" width="9.1640625" style="279"/>
    <col min="16135" max="16135" width="10.1640625" style="279" customWidth="1"/>
    <col min="16136" max="16136" width="9.5" style="279" customWidth="1"/>
    <col min="16137" max="16139" width="0" style="279" hidden="1" customWidth="1"/>
    <col min="16140" max="16140" width="13.33203125" style="279" customWidth="1"/>
    <col min="16141" max="16141" width="50.5" style="279" bestFit="1" customWidth="1"/>
    <col min="16142" max="16142" width="95.1640625" style="279" customWidth="1"/>
    <col min="16143" max="16384" width="9.1640625" style="279"/>
  </cols>
  <sheetData>
    <row r="1" spans="1:14" ht="18" x14ac:dyDescent="0.15">
      <c r="A1" s="414" t="s">
        <v>344</v>
      </c>
      <c r="B1" s="415"/>
      <c r="C1" s="415"/>
      <c r="D1" s="415"/>
      <c r="E1" s="415"/>
      <c r="F1" s="415"/>
      <c r="G1" s="415"/>
      <c r="H1" s="415"/>
      <c r="I1" s="415"/>
      <c r="J1" s="415"/>
      <c r="K1" s="415"/>
      <c r="L1" s="275"/>
    </row>
    <row r="2" spans="1:14" ht="16" x14ac:dyDescent="0.15">
      <c r="A2" s="280" t="s">
        <v>345</v>
      </c>
      <c r="B2" s="281"/>
      <c r="C2" s="282" t="s">
        <v>195</v>
      </c>
      <c r="D2" s="281"/>
      <c r="E2" s="281"/>
      <c r="F2" s="281"/>
      <c r="G2" s="281"/>
      <c r="H2" s="281"/>
      <c r="I2" s="281"/>
      <c r="J2" s="281"/>
      <c r="K2" s="281"/>
      <c r="L2" s="275"/>
    </row>
    <row r="3" spans="1:14" ht="16" x14ac:dyDescent="0.15">
      <c r="A3" s="280" t="s">
        <v>367</v>
      </c>
      <c r="C3" s="283" t="s">
        <v>346</v>
      </c>
      <c r="L3" s="275"/>
    </row>
    <row r="4" spans="1:14" x14ac:dyDescent="0.15">
      <c r="A4" s="284" t="s">
        <v>368</v>
      </c>
    </row>
    <row r="5" spans="1:14" ht="69" customHeight="1" x14ac:dyDescent="0.15">
      <c r="A5" s="419" t="s">
        <v>369</v>
      </c>
      <c r="B5" s="419"/>
      <c r="C5" s="419"/>
      <c r="D5" s="419"/>
      <c r="E5" s="419"/>
      <c r="F5" s="419"/>
      <c r="G5" s="419"/>
      <c r="H5" s="419"/>
      <c r="I5" s="420"/>
      <c r="J5" s="420"/>
      <c r="K5" s="420"/>
      <c r="L5" s="420"/>
      <c r="M5" s="420"/>
      <c r="N5" s="420"/>
    </row>
    <row r="6" spans="1:14" x14ac:dyDescent="0.15">
      <c r="A6" s="285"/>
    </row>
    <row r="7" spans="1:14" x14ac:dyDescent="0.15">
      <c r="A7" s="285"/>
      <c r="D7" s="286"/>
      <c r="F7" s="286"/>
      <c r="N7" s="287"/>
    </row>
    <row r="8" spans="1:14" ht="45" x14ac:dyDescent="0.15">
      <c r="D8" s="288" t="s">
        <v>347</v>
      </c>
      <c r="E8" s="287"/>
      <c r="F8" s="288" t="s">
        <v>348</v>
      </c>
      <c r="G8" s="288" t="s">
        <v>159</v>
      </c>
      <c r="H8" s="288" t="s">
        <v>159</v>
      </c>
      <c r="I8" s="288"/>
      <c r="J8" s="288"/>
      <c r="K8" s="288"/>
      <c r="L8" s="289" t="s">
        <v>349</v>
      </c>
      <c r="M8" s="290" t="s">
        <v>370</v>
      </c>
      <c r="N8" s="291" t="s">
        <v>371</v>
      </c>
    </row>
    <row r="9" spans="1:14" x14ac:dyDescent="0.15">
      <c r="D9" s="288" t="s">
        <v>83</v>
      </c>
      <c r="E9" s="287"/>
      <c r="F9" s="288" t="s">
        <v>83</v>
      </c>
      <c r="G9" s="288" t="s">
        <v>83</v>
      </c>
      <c r="H9" s="288" t="s">
        <v>350</v>
      </c>
      <c r="I9" s="288"/>
      <c r="J9" s="288"/>
      <c r="K9" s="287"/>
      <c r="L9" s="287"/>
      <c r="N9" s="278"/>
    </row>
    <row r="10" spans="1:14" ht="15" thickBot="1" x14ac:dyDescent="0.2">
      <c r="D10" s="286"/>
      <c r="E10" s="286"/>
      <c r="N10" s="278"/>
    </row>
    <row r="11" spans="1:14" ht="46" thickBot="1" x14ac:dyDescent="0.2">
      <c r="A11" s="415" t="s">
        <v>351</v>
      </c>
      <c r="B11" s="415"/>
      <c r="C11" s="415"/>
      <c r="D11" s="292">
        <v>10764</v>
      </c>
      <c r="F11" s="292">
        <f>'Cash Book 2020-21'!F15+'Cash Book 2020-21'!F55</f>
        <v>16458.18</v>
      </c>
      <c r="G11" s="293"/>
      <c r="M11" s="290" t="str">
        <f>IF(F11=D23,"Explanation of % variance from PY opening balance not required - Balance brought forward agrees","Explanation of % variance from PY opening balance not required - Balance brought forward does not agree, query this")</f>
        <v>Explanation of % variance from PY opening balance not required - Balance brought forward does not agree, query this</v>
      </c>
      <c r="N11" s="294"/>
    </row>
    <row r="12" spans="1:14" ht="15" thickBot="1" x14ac:dyDescent="0.2">
      <c r="D12" s="293"/>
      <c r="F12" s="293"/>
      <c r="N12" s="278"/>
    </row>
    <row r="13" spans="1:14" ht="16" thickBot="1" x14ac:dyDescent="0.2">
      <c r="A13" s="416" t="s">
        <v>352</v>
      </c>
      <c r="B13" s="417"/>
      <c r="C13" s="418"/>
      <c r="D13" s="292">
        <v>5250</v>
      </c>
      <c r="F13" s="292">
        <f>'Cash Book 2020-21'!D17+'Cash Book 2020-21'!D18+'Cash Book 2020-21'!D31</f>
        <v>5250</v>
      </c>
      <c r="G13" s="293">
        <f>F13-D13</f>
        <v>0</v>
      </c>
      <c r="H13" s="295">
        <f>IF((D13&gt;F13),(D13-F13)/D13,IF(D13&lt;F13,-(D13-F13)/D13,IF(D13=F13,0)))</f>
        <v>0</v>
      </c>
      <c r="I13" s="279">
        <f>IF(D13-F13&lt;200,0,IF(D13-F13&gt;200,1,IF(D13-F13=200,1)))</f>
        <v>0</v>
      </c>
      <c r="J13" s="279">
        <f>IF(F13-D13&lt;200,0,IF(F13-D13&gt;200,1,IF(F13-D13=200,1)))</f>
        <v>0</v>
      </c>
      <c r="K13" s="286">
        <f>IF(H13&lt;0.15,0,IF(H13&gt;0.15,1,IF(H13=0.15,1)))</f>
        <v>0</v>
      </c>
      <c r="L13" s="286" t="str">
        <f>IF((H13&lt;15%)*AND(G13&lt;100000), "NO","YES")</f>
        <v>NO</v>
      </c>
      <c r="M13" s="290" t="str">
        <f>IF((L13="YES")*AND(I13+J13&lt;1),"Explanation not required, difference less than £200"," ")</f>
        <v xml:space="preserve"> </v>
      </c>
      <c r="N13" s="294"/>
    </row>
    <row r="14" spans="1:14" ht="15" thickBot="1" x14ac:dyDescent="0.2">
      <c r="D14" s="293"/>
      <c r="F14" s="293"/>
      <c r="G14" s="293"/>
      <c r="H14" s="295"/>
      <c r="K14" s="286"/>
      <c r="L14" s="286"/>
      <c r="N14" s="278"/>
    </row>
    <row r="15" spans="1:14" ht="31" thickBot="1" x14ac:dyDescent="0.2">
      <c r="A15" s="413" t="s">
        <v>353</v>
      </c>
      <c r="B15" s="413"/>
      <c r="C15" s="413"/>
      <c r="D15" s="292">
        <v>8522</v>
      </c>
      <c r="F15" s="292">
        <f>'Cash Book 2020-21'!D35+'Cash Book 2020-21'!D43+'Cash Book 2020-21'!D56+'Cash Book 2020-21'!D57+'Cash Book 2020-21'!D58+'Cash Book 2020-21'!D59</f>
        <v>112.16000000000001</v>
      </c>
      <c r="G15" s="293">
        <f>F15-D15</f>
        <v>-8409.84</v>
      </c>
      <c r="H15" s="295">
        <f>IF((D15&gt;F15),(D15-F15)/D15,IF(D15&lt;F15,-(D15-F15)/D15,IF(D15=F15,0)))</f>
        <v>0.98683877024172728</v>
      </c>
      <c r="I15" s="279">
        <f>IF(D15-F15&lt;200,0,IF(D15-F15&gt;200,1,IF(D15-F15=200,1)))</f>
        <v>1</v>
      </c>
      <c r="J15" s="279">
        <f>IF(F15-D15&lt;200,0,IF(F15-D15&gt;200,1,IF(F15-D15=200,1)))</f>
        <v>0</v>
      </c>
      <c r="K15" s="286">
        <f>IF(H15&lt;0.15,0,IF(H15&gt;0.15,1,IF(H15=0.15,1)))</f>
        <v>1</v>
      </c>
      <c r="L15" s="286" t="str">
        <f>IF((H15&lt;15%)*AND(G15&lt;100000), "NO","YES")</f>
        <v>YES</v>
      </c>
      <c r="M15" s="290"/>
      <c r="N15" s="294" t="s">
        <v>354</v>
      </c>
    </row>
    <row r="16" spans="1:14" ht="15" thickBot="1" x14ac:dyDescent="0.2">
      <c r="D16" s="293"/>
      <c r="F16" s="293"/>
      <c r="G16" s="293"/>
      <c r="H16" s="295"/>
      <c r="K16" s="286"/>
      <c r="L16" s="286"/>
      <c r="N16" s="278"/>
    </row>
    <row r="17" spans="1:14" ht="16" thickBot="1" x14ac:dyDescent="0.2">
      <c r="A17" s="413" t="s">
        <v>355</v>
      </c>
      <c r="B17" s="413"/>
      <c r="C17" s="413"/>
      <c r="D17" s="292">
        <v>4482</v>
      </c>
      <c r="F17" s="292">
        <f>'Cash Book 2020-21'!K60+'Cash Book 2020-21'!L60+'Cash Book 2020-21'!M60</f>
        <v>2873.77</v>
      </c>
      <c r="G17" s="293">
        <f>F17-D17</f>
        <v>-1608.23</v>
      </c>
      <c r="H17" s="295">
        <f>IF((D17&gt;F17),(D17-F17)/D17,IF(D17&lt;F17,-(D17-F17)/D17,IF(D17=F17,0)))</f>
        <v>0.3588197233377956</v>
      </c>
      <c r="I17" s="279">
        <f>IF(D17-F17&lt;200,0,IF(D17-F17&gt;200,1,IF(D17-F17=200,1)))</f>
        <v>1</v>
      </c>
      <c r="J17" s="279">
        <f>IF(F17-D17&lt;200,0,IF(F17-D17&gt;200,1,IF(F17-D17=200,1)))</f>
        <v>0</v>
      </c>
      <c r="K17" s="286">
        <f>IF(H17&lt;0.15,0,IF(H17&gt;0.15,1,IF(H17=0.15,1)))</f>
        <v>1</v>
      </c>
      <c r="L17" s="286" t="str">
        <f>IF((H17&lt;15%)*AND(G17&lt;100000), "NO","YES")</f>
        <v>YES</v>
      </c>
      <c r="M17" s="290" t="str">
        <f>IF((L17="YES")*AND(I17+J17&lt;1),"Explanation not required, difference less than £200"," ")</f>
        <v xml:space="preserve"> </v>
      </c>
      <c r="N17" s="294" t="s">
        <v>401</v>
      </c>
    </row>
    <row r="18" spans="1:14" ht="15" thickBot="1" x14ac:dyDescent="0.2">
      <c r="D18" s="293"/>
      <c r="F18" s="293"/>
      <c r="G18" s="293"/>
      <c r="H18" s="295"/>
      <c r="K18" s="286"/>
      <c r="L18" s="286"/>
      <c r="N18" s="278"/>
    </row>
    <row r="19" spans="1:14" ht="16" thickBot="1" x14ac:dyDescent="0.2">
      <c r="A19" s="413" t="s">
        <v>356</v>
      </c>
      <c r="B19" s="413"/>
      <c r="C19" s="413"/>
      <c r="D19" s="292">
        <v>0</v>
      </c>
      <c r="F19" s="292">
        <v>0</v>
      </c>
      <c r="G19" s="293">
        <f>F19-D19</f>
        <v>0</v>
      </c>
      <c r="H19" s="295">
        <f>IF((D19&gt;F19),(D19-F19)/D19,IF(D19&lt;F19,-(D19-F19)/D19,IF(D19=F19,0)))</f>
        <v>0</v>
      </c>
      <c r="I19" s="279">
        <f>IF(D19-F19&lt;200,0,IF(D19-F19&gt;200,1,IF(D19-F19=200,1)))</f>
        <v>0</v>
      </c>
      <c r="J19" s="279">
        <f>IF(F19-D19&lt;200,0,IF(F19-D19&gt;200,1,IF(F19-D19=200,1)))</f>
        <v>0</v>
      </c>
      <c r="K19" s="286">
        <f>IF(H19&lt;0.15,0,IF(H19&gt;0.15,1,IF(H19=0.15,1)))</f>
        <v>0</v>
      </c>
      <c r="L19" s="286" t="str">
        <f>IF((H19&lt;15%)*AND(G19&lt;100000), "NO","YES")</f>
        <v>NO</v>
      </c>
      <c r="M19" s="290" t="str">
        <f>IF((L19="YES")*AND(I19+J19&lt;1),"Explanation not required, difference less than £200"," ")</f>
        <v xml:space="preserve"> </v>
      </c>
      <c r="N19" s="294"/>
    </row>
    <row r="20" spans="1:14" ht="15" thickBot="1" x14ac:dyDescent="0.2">
      <c r="D20" s="293"/>
      <c r="F20" s="293"/>
      <c r="G20" s="293"/>
      <c r="H20" s="295"/>
      <c r="K20" s="286"/>
      <c r="L20" s="286"/>
      <c r="N20" s="278"/>
    </row>
    <row r="21" spans="1:14" ht="31" thickBot="1" x14ac:dyDescent="0.2">
      <c r="A21" s="413" t="s">
        <v>357</v>
      </c>
      <c r="B21" s="413"/>
      <c r="C21" s="413"/>
      <c r="D21" s="292">
        <v>3596</v>
      </c>
      <c r="F21" s="292">
        <f>'Cash Book 2020-21'!N60+'Cash Book 2020-21'!O60+'Cash Book 2020-21'!P60+'Cash Book 2020-21'!Q60+'Cash Book 2020-21'!R60+'Cash Book 2020-21'!S60</f>
        <v>2630.73</v>
      </c>
      <c r="G21" s="293">
        <f>F21-D21</f>
        <v>-965.27</v>
      </c>
      <c r="H21" s="295">
        <f>IF((D21&gt;F21),(D21-F21)/D21,IF(D21&lt;F21,-(D21-F21)/D21,IF(D21=F21,0)))</f>
        <v>0.26842880978865408</v>
      </c>
      <c r="I21" s="279">
        <f>IF(D21-F21&lt;200,0,IF(D21-F21&gt;200,1,IF(D21-F21=200,1)))</f>
        <v>1</v>
      </c>
      <c r="J21" s="279">
        <f>IF(F21-D21&lt;200,0,IF(F21-D21&gt;200,1,IF(F21-D21=200,1)))</f>
        <v>0</v>
      </c>
      <c r="K21" s="286">
        <f>IF(H21&lt;0.15,0,IF(H21&gt;0.15,1,IF(H21=0.15,1)))</f>
        <v>1</v>
      </c>
      <c r="L21" s="286" t="str">
        <f>IF((H21&lt;15%)*AND(G21&lt;100000), "NO","YES")</f>
        <v>YES</v>
      </c>
      <c r="M21" s="296"/>
      <c r="N21" s="294" t="s">
        <v>358</v>
      </c>
    </row>
    <row r="22" spans="1:14" ht="15" thickBot="1" x14ac:dyDescent="0.2">
      <c r="D22" s="293"/>
      <c r="F22" s="293"/>
      <c r="G22" s="293"/>
      <c r="H22" s="295"/>
      <c r="K22" s="286"/>
      <c r="L22" s="286"/>
      <c r="N22" s="278"/>
    </row>
    <row r="23" spans="1:14" ht="31" thickBot="1" x14ac:dyDescent="0.2">
      <c r="A23" s="297" t="s">
        <v>359</v>
      </c>
      <c r="D23" s="298">
        <f>D11+D13+D15-D17-D19-D21</f>
        <v>16458</v>
      </c>
      <c r="F23" s="298">
        <f>F11+F13+F15-F17-F19-F21</f>
        <v>16315.84</v>
      </c>
      <c r="G23" s="293"/>
      <c r="H23" s="295"/>
      <c r="K23" s="286"/>
      <c r="L23" s="286"/>
      <c r="M23" s="299" t="s">
        <v>360</v>
      </c>
      <c r="N23" s="278"/>
    </row>
    <row r="24" spans="1:14" ht="15" x14ac:dyDescent="0.15">
      <c r="A24" s="297"/>
      <c r="D24" s="276"/>
      <c r="F24" s="276"/>
      <c r="G24" s="293"/>
      <c r="H24" s="295"/>
      <c r="K24" s="286"/>
      <c r="L24" s="300" t="str">
        <f>IF(F23&gt;(2*F13),"YES","NO")</f>
        <v>YES</v>
      </c>
      <c r="M24" s="301"/>
      <c r="N24" s="278"/>
    </row>
    <row r="25" spans="1:14" ht="15" thickBot="1" x14ac:dyDescent="0.2">
      <c r="D25" s="293"/>
      <c r="F25" s="293"/>
      <c r="G25" s="293"/>
      <c r="H25" s="295"/>
      <c r="K25" s="286"/>
      <c r="L25" s="286"/>
      <c r="N25" s="278"/>
    </row>
    <row r="26" spans="1:14" ht="31" thickBot="1" x14ac:dyDescent="0.2">
      <c r="A26" s="413" t="s">
        <v>361</v>
      </c>
      <c r="B26" s="413"/>
      <c r="C26" s="413"/>
      <c r="D26" s="292">
        <v>16458</v>
      </c>
      <c r="F26" s="292">
        <f>'Cash Book 2020-21'!F51+'Cash Book 2020-21'!F59</f>
        <v>16315.840000000004</v>
      </c>
      <c r="G26" s="293"/>
      <c r="H26" s="295"/>
      <c r="K26" s="286"/>
      <c r="L26" s="286"/>
      <c r="M26" s="299" t="s">
        <v>360</v>
      </c>
      <c r="N26" s="278"/>
    </row>
    <row r="27" spans="1:14" ht="15" thickBot="1" x14ac:dyDescent="0.2">
      <c r="D27" s="293"/>
      <c r="F27" s="293"/>
      <c r="G27" s="293"/>
      <c r="H27" s="295"/>
      <c r="K27" s="286"/>
      <c r="L27" s="286"/>
      <c r="N27" s="278"/>
    </row>
    <row r="28" spans="1:14" ht="29" customHeight="1" thickBot="1" x14ac:dyDescent="0.2">
      <c r="A28" s="421" t="s">
        <v>362</v>
      </c>
      <c r="B28" s="421"/>
      <c r="C28" s="421"/>
      <c r="D28" s="292">
        <v>40610</v>
      </c>
      <c r="F28" s="292">
        <v>40610</v>
      </c>
      <c r="G28" s="293">
        <f>F28-D28</f>
        <v>0</v>
      </c>
      <c r="H28" s="295">
        <f>IF((D28&gt;F28),(D28-F28)/D28,IF(D28&lt;F28,-(D28-F28)/D28,IF(D28=F28,0)))</f>
        <v>0</v>
      </c>
      <c r="I28" s="279">
        <f>IF(D28-F28&lt;200,0,IF(D28-F28&gt;200,1,IF(D28-F28=200,1)))</f>
        <v>0</v>
      </c>
      <c r="J28" s="279">
        <f>IF(F28-D28&lt;200,0,IF(F28-D28&gt;200,1,IF(F28-D28=200,1)))</f>
        <v>0</v>
      </c>
      <c r="K28" s="286">
        <f>IF(H28&lt;0.15,0,IF(H28&gt;0.15,1,IF(H28=0.15,1)))</f>
        <v>0</v>
      </c>
      <c r="L28" s="286" t="str">
        <f>IF((H28&lt;15%)*AND(G28&lt;100000), "NO","YES")</f>
        <v>NO</v>
      </c>
      <c r="M28" s="290" t="str">
        <f>IF((L28="YES")*AND(I28+J28&lt;1),"Explanation not required, difference less than £200"," ")</f>
        <v xml:space="preserve"> </v>
      </c>
      <c r="N28" s="294"/>
    </row>
    <row r="29" spans="1:14" ht="15" thickBot="1" x14ac:dyDescent="0.2">
      <c r="D29" s="293"/>
      <c r="F29" s="293"/>
      <c r="G29" s="293"/>
      <c r="H29" s="295"/>
      <c r="K29" s="286"/>
      <c r="L29" s="286"/>
      <c r="N29" s="278"/>
    </row>
    <row r="30" spans="1:14" ht="16" thickBot="1" x14ac:dyDescent="0.2">
      <c r="A30" s="413" t="s">
        <v>363</v>
      </c>
      <c r="B30" s="413"/>
      <c r="C30" s="413"/>
      <c r="D30" s="292">
        <v>0</v>
      </c>
      <c r="F30" s="292">
        <v>0</v>
      </c>
      <c r="G30" s="293">
        <f>F30-D30</f>
        <v>0</v>
      </c>
      <c r="H30" s="295">
        <f>IF((D30&gt;F30),(D30-F30)/D30,IF(D30&lt;F30,-(D30-F30)/D30,IF(D30=F30,0)))</f>
        <v>0</v>
      </c>
      <c r="I30" s="279">
        <f>IF(D30-F30&lt;100,0,IF(D30-F30&gt;100,1,IF(D30-F30=100,1)))</f>
        <v>0</v>
      </c>
      <c r="J30" s="279">
        <f>IF(F30-D30&lt;100,0,IF(F30-D30&gt;100,1,IF(F30-D30=100,1)))</f>
        <v>0</v>
      </c>
      <c r="K30" s="286">
        <f>IF(H30&lt;0.15,0,IF(H30&gt;0.15,1,IF(H30=0.15,1)))</f>
        <v>0</v>
      </c>
      <c r="L30" s="286" t="str">
        <f>IF((H30&lt;15%)*AND(G30&lt;100000), "NO","YES")</f>
        <v>NO</v>
      </c>
      <c r="M30" s="290" t="str">
        <f>IF((L30="YES")*AND(I30+J30&lt;1),"Explanation not required, difference less than £200"," ")</f>
        <v xml:space="preserve"> </v>
      </c>
      <c r="N30" s="294"/>
    </row>
    <row r="31" spans="1:14" x14ac:dyDescent="0.15">
      <c r="H31" s="295"/>
      <c r="K31" s="286"/>
      <c r="L31" s="286"/>
      <c r="N31" s="278"/>
    </row>
    <row r="32" spans="1:14" x14ac:dyDescent="0.15">
      <c r="C32" s="277" t="s">
        <v>364</v>
      </c>
    </row>
    <row r="33" spans="1:22" x14ac:dyDescent="0.15">
      <c r="O33" s="302"/>
      <c r="P33" s="302"/>
      <c r="Q33" s="302"/>
      <c r="R33" s="302"/>
      <c r="S33" s="302"/>
      <c r="T33" s="302"/>
      <c r="U33" s="302"/>
      <c r="V33" s="302"/>
    </row>
    <row r="34" spans="1:22" x14ac:dyDescent="0.15">
      <c r="C34" s="277" t="s">
        <v>365</v>
      </c>
      <c r="N34" s="302"/>
      <c r="O34" s="302"/>
      <c r="P34" s="302"/>
      <c r="Q34" s="302"/>
      <c r="R34" s="302"/>
      <c r="S34" s="302"/>
      <c r="T34" s="302"/>
      <c r="U34" s="302"/>
      <c r="V34" s="302"/>
    </row>
    <row r="36" spans="1:22" x14ac:dyDescent="0.15">
      <c r="C36" s="277" t="s">
        <v>366</v>
      </c>
    </row>
    <row r="38" spans="1:22" x14ac:dyDescent="0.15">
      <c r="A38" s="139"/>
      <c r="B38" s="139"/>
      <c r="C38" s="172"/>
    </row>
  </sheetData>
  <mergeCells count="11">
    <mergeCell ref="A19:C19"/>
    <mergeCell ref="A21:C21"/>
    <mergeCell ref="A26:C26"/>
    <mergeCell ref="A28:C28"/>
    <mergeCell ref="A30:C30"/>
    <mergeCell ref="A17:C17"/>
    <mergeCell ref="A1:K1"/>
    <mergeCell ref="A11:C11"/>
    <mergeCell ref="A13:C13"/>
    <mergeCell ref="A15:C15"/>
    <mergeCell ref="A5:N5"/>
  </mergeCells>
  <printOptions horizontalCentered="1" verticalCentered="1"/>
  <pageMargins left="0.3" right="0.3" top="0.3" bottom="0.3" header="0.3" footer="0.3"/>
  <pageSetup paperSize="9" scale="75"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35F8-BBE8-C841-8F13-C5DC3B9BA12F}">
  <dimension ref="A1:K28"/>
  <sheetViews>
    <sheetView zoomScale="150" zoomScaleNormal="150" workbookViewId="0">
      <selection activeCell="F18" sqref="F18"/>
    </sheetView>
  </sheetViews>
  <sheetFormatPr baseColWidth="10" defaultColWidth="8.83203125" defaultRowHeight="15" x14ac:dyDescent="0.2"/>
  <cols>
    <col min="1" max="3" width="8.83203125" style="374"/>
    <col min="4" max="6" width="8.83203125" style="380"/>
    <col min="7" max="10" width="8.83203125" style="374"/>
    <col min="11" max="11" width="9.83203125" style="374" customWidth="1"/>
    <col min="12" max="16384" width="8.83203125" style="374"/>
  </cols>
  <sheetData>
    <row r="1" spans="1:11" ht="19" x14ac:dyDescent="0.25">
      <c r="A1" s="386" t="s">
        <v>372</v>
      </c>
      <c r="B1" s="378"/>
      <c r="C1" s="378"/>
      <c r="D1" s="383"/>
      <c r="E1" s="383"/>
      <c r="F1" s="383"/>
      <c r="G1" s="378"/>
      <c r="H1" s="378"/>
      <c r="I1" s="378"/>
      <c r="J1" s="378"/>
      <c r="K1" s="387"/>
    </row>
    <row r="2" spans="1:11" x14ac:dyDescent="0.2">
      <c r="A2" s="388" t="s">
        <v>373</v>
      </c>
      <c r="K2" s="389"/>
    </row>
    <row r="3" spans="1:11" x14ac:dyDescent="0.2">
      <c r="A3" s="388" t="s">
        <v>374</v>
      </c>
      <c r="K3" s="389"/>
    </row>
    <row r="4" spans="1:11" x14ac:dyDescent="0.2">
      <c r="A4" s="388"/>
      <c r="K4" s="389"/>
    </row>
    <row r="5" spans="1:11" x14ac:dyDescent="0.2">
      <c r="A5" s="388"/>
      <c r="D5" s="381" t="s">
        <v>83</v>
      </c>
      <c r="E5" s="381" t="s">
        <v>83</v>
      </c>
      <c r="F5" s="381" t="s">
        <v>83</v>
      </c>
      <c r="K5" s="389"/>
    </row>
    <row r="6" spans="1:11" x14ac:dyDescent="0.2">
      <c r="A6" s="390" t="s">
        <v>375</v>
      </c>
      <c r="K6" s="389"/>
    </row>
    <row r="7" spans="1:11" x14ac:dyDescent="0.2">
      <c r="A7" s="388"/>
      <c r="B7" s="375" t="s">
        <v>376</v>
      </c>
      <c r="D7" s="376">
        <v>8334</v>
      </c>
      <c r="G7" s="374" t="s">
        <v>377</v>
      </c>
      <c r="K7" s="389"/>
    </row>
    <row r="8" spans="1:11" x14ac:dyDescent="0.2">
      <c r="A8" s="388"/>
      <c r="B8" s="375" t="s">
        <v>378</v>
      </c>
      <c r="D8" s="376">
        <v>385</v>
      </c>
      <c r="G8" s="374" t="s">
        <v>379</v>
      </c>
      <c r="K8" s="389"/>
    </row>
    <row r="9" spans="1:11" x14ac:dyDescent="0.2">
      <c r="A9" s="388"/>
      <c r="B9" s="375" t="s">
        <v>380</v>
      </c>
      <c r="D9" s="376">
        <v>87</v>
      </c>
      <c r="G9" s="374" t="s">
        <v>381</v>
      </c>
      <c r="K9" s="389"/>
    </row>
    <row r="10" spans="1:11" x14ac:dyDescent="0.2">
      <c r="A10" s="388"/>
      <c r="B10" s="375" t="s">
        <v>382</v>
      </c>
      <c r="D10" s="376">
        <v>930</v>
      </c>
      <c r="G10" s="374" t="s">
        <v>383</v>
      </c>
      <c r="K10" s="389"/>
    </row>
    <row r="11" spans="1:11" x14ac:dyDescent="0.2">
      <c r="A11" s="388"/>
      <c r="B11" s="375" t="s">
        <v>384</v>
      </c>
      <c r="D11" s="376">
        <v>2245</v>
      </c>
      <c r="G11" s="374" t="s">
        <v>385</v>
      </c>
      <c r="K11" s="389"/>
    </row>
    <row r="12" spans="1:11" x14ac:dyDescent="0.2">
      <c r="A12" s="388"/>
      <c r="B12" s="375" t="s">
        <v>386</v>
      </c>
      <c r="D12" s="376">
        <v>371</v>
      </c>
      <c r="G12" s="374" t="s">
        <v>387</v>
      </c>
      <c r="K12" s="389"/>
    </row>
    <row r="13" spans="1:11" ht="16" thickBot="1" x14ac:dyDescent="0.25">
      <c r="A13" s="388"/>
      <c r="B13" s="375" t="s">
        <v>388</v>
      </c>
      <c r="D13" s="376"/>
      <c r="E13" s="382"/>
      <c r="K13" s="389"/>
    </row>
    <row r="14" spans="1:11" x14ac:dyDescent="0.2">
      <c r="A14" s="388"/>
      <c r="E14" s="383">
        <f>SUM(D7:D13)</f>
        <v>12352</v>
      </c>
      <c r="K14" s="389"/>
    </row>
    <row r="15" spans="1:11" x14ac:dyDescent="0.2">
      <c r="A15" s="388"/>
      <c r="K15" s="389"/>
    </row>
    <row r="16" spans="1:11" ht="16" thickBot="1" x14ac:dyDescent="0.25">
      <c r="A16" s="390" t="s">
        <v>389</v>
      </c>
      <c r="D16" s="376">
        <f>'Cash Book 2020-21'!F60-'Variances explained'!E14</f>
        <v>3963.8400000000038</v>
      </c>
      <c r="E16" s="382"/>
      <c r="K16" s="389"/>
    </row>
    <row r="17" spans="1:11" ht="16" thickBot="1" x14ac:dyDescent="0.25">
      <c r="A17" s="388"/>
      <c r="E17" s="383">
        <f>D16</f>
        <v>3963.8400000000038</v>
      </c>
      <c r="F17" s="382"/>
      <c r="K17" s="389"/>
    </row>
    <row r="18" spans="1:11" ht="16" thickBot="1" x14ac:dyDescent="0.25">
      <c r="A18" s="390" t="s">
        <v>390</v>
      </c>
      <c r="F18" s="384">
        <f>E14+E17</f>
        <v>16315.840000000004</v>
      </c>
      <c r="K18" s="389"/>
    </row>
    <row r="19" spans="1:11" s="377" customFormat="1" ht="17" thickTop="1" thickBot="1" x14ac:dyDescent="0.25">
      <c r="A19" s="402"/>
      <c r="B19" s="403"/>
      <c r="C19" s="403"/>
      <c r="D19" s="404"/>
      <c r="E19" s="404"/>
      <c r="F19" s="405"/>
      <c r="G19" s="403"/>
      <c r="H19" s="403"/>
      <c r="I19" s="403"/>
      <c r="J19" s="403"/>
      <c r="K19" s="406"/>
    </row>
    <row r="20" spans="1:11" s="391" customFormat="1" x14ac:dyDescent="0.2">
      <c r="D20" s="392"/>
      <c r="E20" s="392"/>
      <c r="F20" s="392"/>
    </row>
    <row r="21" spans="1:11" s="393" customFormat="1" x14ac:dyDescent="0.2">
      <c r="D21" s="394"/>
      <c r="E21" s="394"/>
      <c r="F21" s="394"/>
    </row>
    <row r="22" spans="1:11" s="393" customFormat="1" x14ac:dyDescent="0.2">
      <c r="A22" s="142"/>
      <c r="B22" s="142"/>
      <c r="D22" s="394"/>
      <c r="E22" s="394"/>
      <c r="F22" s="171"/>
    </row>
    <row r="23" spans="1:11" s="393" customFormat="1" x14ac:dyDescent="0.2">
      <c r="A23" s="141"/>
      <c r="B23" s="142"/>
      <c r="D23" s="394"/>
      <c r="E23" s="394"/>
      <c r="F23" s="171"/>
    </row>
    <row r="24" spans="1:11" s="393" customFormat="1" x14ac:dyDescent="0.2">
      <c r="B24" s="142"/>
      <c r="D24" s="394"/>
      <c r="E24" s="394"/>
      <c r="F24" s="394"/>
    </row>
    <row r="25" spans="1:11" s="393" customFormat="1" x14ac:dyDescent="0.2">
      <c r="A25" s="142"/>
      <c r="B25" s="142"/>
      <c r="D25" s="394"/>
      <c r="E25" s="394"/>
      <c r="F25" s="171"/>
    </row>
    <row r="26" spans="1:11" s="393" customFormat="1" x14ac:dyDescent="0.2">
      <c r="A26" s="142"/>
      <c r="B26" s="142"/>
      <c r="C26" s="142"/>
      <c r="D26" s="394"/>
      <c r="E26" s="394"/>
      <c r="F26" s="171"/>
    </row>
    <row r="27" spans="1:11" s="393" customFormat="1" x14ac:dyDescent="0.2">
      <c r="B27" s="142"/>
      <c r="D27" s="394"/>
      <c r="E27" s="394"/>
      <c r="F27" s="394"/>
    </row>
    <row r="28" spans="1:11" s="379" customFormat="1" x14ac:dyDescent="0.2">
      <c r="B28" s="355"/>
      <c r="D28" s="385"/>
      <c r="E28" s="385"/>
      <c r="F28" s="385"/>
    </row>
  </sheetData>
  <printOptions horizontalCentered="1"/>
  <pageMargins left="0.7" right="0.7" top="1" bottom="0.75" header="0.3" footer="0.3"/>
  <pageSetup paperSize="9"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62"/>
  <sheetViews>
    <sheetView topLeftCell="A21" zoomScale="150" workbookViewId="0">
      <selection activeCell="B48" sqref="B48"/>
    </sheetView>
  </sheetViews>
  <sheetFormatPr baseColWidth="10" defaultColWidth="23.6640625" defaultRowHeight="13" x14ac:dyDescent="0.15"/>
  <cols>
    <col min="1" max="1" width="24.1640625" customWidth="1"/>
    <col min="2" max="2" width="10.5" style="28" customWidth="1"/>
    <col min="3" max="3" width="35.83203125" style="122" customWidth="1"/>
    <col min="4" max="4" width="5.6640625" bestFit="1" customWidth="1"/>
    <col min="5" max="5" width="9.83203125" customWidth="1"/>
  </cols>
  <sheetData>
    <row r="1" spans="1:7" ht="16" x14ac:dyDescent="0.2">
      <c r="A1" s="9" t="s">
        <v>23</v>
      </c>
      <c r="B1" s="24"/>
      <c r="C1" s="118"/>
      <c r="D1" s="3"/>
      <c r="E1" s="3"/>
      <c r="F1" s="3"/>
      <c r="G1" s="3"/>
    </row>
    <row r="2" spans="1:7" ht="23" customHeight="1" x14ac:dyDescent="0.2">
      <c r="A2" s="9" t="s">
        <v>234</v>
      </c>
      <c r="B2" s="25"/>
      <c r="C2" s="118"/>
      <c r="D2" s="2"/>
      <c r="E2" s="1"/>
      <c r="F2" s="3"/>
      <c r="G2" s="3"/>
    </row>
    <row r="3" spans="1:7" ht="20" customHeight="1" x14ac:dyDescent="0.15">
      <c r="A3" s="12" t="s">
        <v>101</v>
      </c>
      <c r="B3" s="24">
        <f>'Cash Book 2020-21'!F15+'Cash Book 2020-21'!F55</f>
        <v>16458.18</v>
      </c>
      <c r="C3" s="118"/>
    </row>
    <row r="4" spans="1:7" x14ac:dyDescent="0.15">
      <c r="A4" s="19" t="s">
        <v>38</v>
      </c>
      <c r="B4" s="26">
        <f>-'Cash Book 2020-21'!G60</f>
        <v>5250</v>
      </c>
      <c r="C4" s="118"/>
    </row>
    <row r="5" spans="1:7" x14ac:dyDescent="0.15">
      <c r="A5" s="17" t="s">
        <v>89</v>
      </c>
      <c r="B5" s="26">
        <f>'Cash Book 2020-21'!D56+'Cash Book 2020-21'!D57+'Cash Book 2020-21'!D58+'Cash Book 2020-21'!D59</f>
        <v>2.16</v>
      </c>
      <c r="C5" s="118"/>
    </row>
    <row r="6" spans="1:7" x14ac:dyDescent="0.15">
      <c r="A6" s="17" t="s">
        <v>129</v>
      </c>
      <c r="B6" s="26">
        <f>-'Cash Book 2020-21'!H60-B5</f>
        <v>110.00000000000001</v>
      </c>
      <c r="C6" s="224" t="s">
        <v>402</v>
      </c>
    </row>
    <row r="7" spans="1:7" x14ac:dyDescent="0.15">
      <c r="A7" s="17" t="s">
        <v>74</v>
      </c>
      <c r="B7" s="44">
        <v>0</v>
      </c>
      <c r="C7" s="118"/>
    </row>
    <row r="8" spans="1:7" x14ac:dyDescent="0.15">
      <c r="A8" s="17" t="s">
        <v>107</v>
      </c>
      <c r="B8" s="26"/>
      <c r="C8" s="118"/>
    </row>
    <row r="9" spans="1:7" x14ac:dyDescent="0.15">
      <c r="A9" s="22" t="s">
        <v>122</v>
      </c>
      <c r="B9" s="27">
        <f>'Cash Book 2020-21'!K60+'Cash Book 2020-21'!L60</f>
        <v>2701.97</v>
      </c>
      <c r="C9" s="118"/>
    </row>
    <row r="10" spans="1:7" x14ac:dyDescent="0.15">
      <c r="A10" s="22" t="s">
        <v>131</v>
      </c>
      <c r="B10" s="27">
        <f>'Cash Book 2020-21'!M60</f>
        <v>171.8</v>
      </c>
      <c r="C10" s="224" t="s">
        <v>178</v>
      </c>
    </row>
    <row r="11" spans="1:7" x14ac:dyDescent="0.15">
      <c r="A11" s="22" t="s">
        <v>133</v>
      </c>
      <c r="B11" s="27">
        <f>'Cash Book 2020-21'!N60</f>
        <v>75.36</v>
      </c>
      <c r="C11" s="224"/>
    </row>
    <row r="12" spans="1:7" x14ac:dyDescent="0.15">
      <c r="A12" s="22" t="s">
        <v>132</v>
      </c>
      <c r="B12" s="27">
        <f>'Cash Book 2020-21'!O60</f>
        <v>775.87833333333333</v>
      </c>
      <c r="C12" s="224" t="s">
        <v>180</v>
      </c>
    </row>
    <row r="13" spans="1:7" x14ac:dyDescent="0.15">
      <c r="A13" s="22" t="s">
        <v>16</v>
      </c>
      <c r="B13" s="26">
        <f>'Cash Book 2020-21'!P60</f>
        <v>338.88</v>
      </c>
      <c r="C13" s="118"/>
    </row>
    <row r="14" spans="1:7" x14ac:dyDescent="0.15">
      <c r="A14" s="22" t="s">
        <v>52</v>
      </c>
      <c r="B14" s="27">
        <f>'Cash Book 2020-21'!Q60</f>
        <v>276</v>
      </c>
      <c r="C14" s="118"/>
    </row>
    <row r="15" spans="1:7" x14ac:dyDescent="0.15">
      <c r="A15" s="22" t="s">
        <v>53</v>
      </c>
      <c r="B15" s="27">
        <f>'Cash Book 2020-21'!R60</f>
        <v>1124</v>
      </c>
      <c r="C15" s="224"/>
      <c r="F15" s="21"/>
    </row>
    <row r="16" spans="1:7" x14ac:dyDescent="0.15">
      <c r="A16" s="23" t="s">
        <v>134</v>
      </c>
      <c r="B16" s="27">
        <f>'Cash Book 2020-21'!S60</f>
        <v>40.611666666666665</v>
      </c>
      <c r="C16" s="224" t="s">
        <v>179</v>
      </c>
    </row>
    <row r="17" spans="1:5" ht="5" customHeight="1" x14ac:dyDescent="0.15">
      <c r="A17" s="22"/>
      <c r="B17" s="27"/>
      <c r="C17" s="118"/>
    </row>
    <row r="18" spans="1:5" x14ac:dyDescent="0.15">
      <c r="A18" s="19" t="s">
        <v>106</v>
      </c>
      <c r="B18" s="24">
        <f>(SUM(B3:B7)-(SUM(B9:B16)))</f>
        <v>16315.84</v>
      </c>
      <c r="C18" s="118"/>
      <c r="D18" s="99"/>
      <c r="E18" s="100"/>
    </row>
    <row r="19" spans="1:5" s="139" customFormat="1" x14ac:dyDescent="0.15">
      <c r="A19" s="262"/>
      <c r="B19" s="137"/>
      <c r="C19" s="138"/>
      <c r="E19" s="187"/>
    </row>
    <row r="20" spans="1:5" s="139" customFormat="1" x14ac:dyDescent="0.15">
      <c r="A20" s="262"/>
      <c r="B20" s="137"/>
      <c r="C20" s="138"/>
      <c r="E20" s="187"/>
    </row>
    <row r="21" spans="1:5" s="139" customFormat="1" x14ac:dyDescent="0.15">
      <c r="A21" s="262"/>
      <c r="B21" s="137"/>
      <c r="C21" s="138"/>
      <c r="E21" s="187"/>
    </row>
    <row r="22" spans="1:5" s="139" customFormat="1" x14ac:dyDescent="0.15">
      <c r="A22" s="262"/>
      <c r="B22" s="137"/>
      <c r="C22" s="138"/>
      <c r="E22" s="187"/>
    </row>
    <row r="23" spans="1:5" s="135" customFormat="1" x14ac:dyDescent="0.15">
      <c r="A23" s="136"/>
      <c r="B23" s="137"/>
      <c r="C23" s="138"/>
    </row>
    <row r="24" spans="1:5" s="20" customFormat="1" x14ac:dyDescent="0.15">
      <c r="B24" s="29"/>
      <c r="C24" s="119"/>
    </row>
    <row r="25" spans="1:5" s="20" customFormat="1" x14ac:dyDescent="0.15">
      <c r="B25" s="29"/>
      <c r="C25" s="119"/>
    </row>
    <row r="26" spans="1:5" s="20" customFormat="1" x14ac:dyDescent="0.15">
      <c r="B26" s="29"/>
      <c r="C26" s="119"/>
    </row>
    <row r="27" spans="1:5" s="20" customFormat="1" x14ac:dyDescent="0.15">
      <c r="B27" s="29"/>
      <c r="C27" s="119"/>
    </row>
    <row r="28" spans="1:5" s="20" customFormat="1" x14ac:dyDescent="0.15">
      <c r="B28" s="29"/>
      <c r="C28" s="119"/>
    </row>
    <row r="29" spans="1:5" s="20" customFormat="1" x14ac:dyDescent="0.15">
      <c r="B29" s="29"/>
      <c r="C29" s="119"/>
    </row>
    <row r="30" spans="1:5" s="20" customFormat="1" x14ac:dyDescent="0.15">
      <c r="B30" s="29"/>
      <c r="C30" s="119"/>
    </row>
    <row r="31" spans="1:5" s="20" customFormat="1" x14ac:dyDescent="0.15">
      <c r="B31" s="29"/>
      <c r="C31" s="119"/>
    </row>
    <row r="32" spans="1:5" s="20" customFormat="1" x14ac:dyDescent="0.15">
      <c r="B32" s="29"/>
      <c r="C32" s="119"/>
    </row>
    <row r="33" spans="1:6" s="20" customFormat="1" x14ac:dyDescent="0.15">
      <c r="B33" s="29"/>
      <c r="C33" s="119"/>
    </row>
    <row r="34" spans="1:6" s="20" customFormat="1" x14ac:dyDescent="0.15">
      <c r="B34" s="29"/>
      <c r="C34" s="119"/>
    </row>
    <row r="35" spans="1:6" s="20" customFormat="1" x14ac:dyDescent="0.15">
      <c r="B35" s="29"/>
      <c r="C35" s="119"/>
    </row>
    <row r="36" spans="1:6" s="20" customFormat="1" x14ac:dyDescent="0.15">
      <c r="B36" s="29"/>
      <c r="C36" s="119"/>
    </row>
    <row r="37" spans="1:6" s="4" customFormat="1" x14ac:dyDescent="0.15">
      <c r="A37" s="4" t="s">
        <v>39</v>
      </c>
      <c r="B37" s="134"/>
      <c r="C37" s="118"/>
    </row>
    <row r="38" spans="1:6" s="4" customFormat="1" x14ac:dyDescent="0.15">
      <c r="A38" s="6" t="s">
        <v>1</v>
      </c>
      <c r="B38" s="43">
        <v>4000</v>
      </c>
      <c r="C38" s="120" t="s">
        <v>9</v>
      </c>
    </row>
    <row r="39" spans="1:6" s="4" customFormat="1" x14ac:dyDescent="0.15">
      <c r="A39" s="4" t="s">
        <v>127</v>
      </c>
      <c r="B39" s="43">
        <v>2615.9</v>
      </c>
      <c r="C39" s="121" t="s">
        <v>87</v>
      </c>
    </row>
    <row r="40" spans="1:6" s="4" customFormat="1" x14ac:dyDescent="0.15">
      <c r="A40" s="4" t="s">
        <v>128</v>
      </c>
      <c r="B40" s="134">
        <f>(6*120)+60+100+50</f>
        <v>930</v>
      </c>
      <c r="C40" s="118" t="s">
        <v>124</v>
      </c>
      <c r="D40" s="43"/>
    </row>
    <row r="41" spans="1:6" s="4" customFormat="1" x14ac:dyDescent="0.15">
      <c r="A41" s="6" t="s">
        <v>181</v>
      </c>
      <c r="B41" s="134">
        <f>'Variances explained'!D9</f>
        <v>87</v>
      </c>
      <c r="C41" s="118" t="s">
        <v>8</v>
      </c>
      <c r="D41" s="43"/>
    </row>
    <row r="42" spans="1:6" s="4" customFormat="1" x14ac:dyDescent="0.15">
      <c r="A42" s="6" t="s">
        <v>181</v>
      </c>
      <c r="B42" s="134">
        <f>'Variances explained'!D8</f>
        <v>385</v>
      </c>
      <c r="C42" s="118" t="s">
        <v>6</v>
      </c>
      <c r="D42" s="43"/>
    </row>
    <row r="43" spans="1:6" s="4" customFormat="1" x14ac:dyDescent="0.15">
      <c r="A43" s="6" t="s">
        <v>181</v>
      </c>
      <c r="B43" s="134">
        <v>0</v>
      </c>
      <c r="C43" s="118" t="s">
        <v>7</v>
      </c>
      <c r="D43" s="43"/>
      <c r="E43" s="181"/>
      <c r="F43" s="3"/>
    </row>
    <row r="44" spans="1:6" s="4" customFormat="1" x14ac:dyDescent="0.15">
      <c r="A44" s="4" t="s">
        <v>140</v>
      </c>
      <c r="B44" s="134">
        <v>0</v>
      </c>
      <c r="C44" s="118"/>
      <c r="D44" s="43"/>
    </row>
    <row r="45" spans="1:6" s="4" customFormat="1" x14ac:dyDescent="0.15">
      <c r="A45" s="6" t="s">
        <v>182</v>
      </c>
      <c r="B45" s="185">
        <f>'Variances explained'!D7</f>
        <v>8334</v>
      </c>
      <c r="C45" s="224" t="s">
        <v>183</v>
      </c>
      <c r="D45" s="43"/>
    </row>
    <row r="46" spans="1:6" s="4" customFormat="1" x14ac:dyDescent="0.15">
      <c r="A46" s="4" t="s">
        <v>113</v>
      </c>
      <c r="B46" s="134">
        <f>SUM(B38:B45)</f>
        <v>16351.9</v>
      </c>
      <c r="C46" s="118"/>
      <c r="D46" s="43"/>
      <c r="E46" s="17"/>
    </row>
    <row r="47" spans="1:6" s="4" customFormat="1" ht="6" customHeight="1" x14ac:dyDescent="0.15">
      <c r="B47" s="134"/>
      <c r="C47" s="118"/>
    </row>
    <row r="48" spans="1:6" s="4" customFormat="1" x14ac:dyDescent="0.15">
      <c r="A48" s="4" t="s">
        <v>114</v>
      </c>
      <c r="B48" s="134">
        <f>B18-B46</f>
        <v>-36.059999999999491</v>
      </c>
      <c r="C48" s="118"/>
    </row>
    <row r="49" spans="1:3" s="4" customFormat="1" ht="8" customHeight="1" x14ac:dyDescent="0.15">
      <c r="B49" s="134"/>
      <c r="C49" s="118"/>
    </row>
    <row r="50" spans="1:3" s="4" customFormat="1" x14ac:dyDescent="0.15">
      <c r="A50" s="4" t="s">
        <v>135</v>
      </c>
      <c r="B50" s="134">
        <v>4200</v>
      </c>
      <c r="C50" s="118"/>
    </row>
    <row r="51" spans="1:3" s="4" customFormat="1" x14ac:dyDescent="0.15">
      <c r="A51" s="4" t="s">
        <v>111</v>
      </c>
      <c r="B51" s="134">
        <v>4200</v>
      </c>
      <c r="C51" s="118"/>
    </row>
    <row r="52" spans="1:3" s="4" customFormat="1" x14ac:dyDescent="0.15">
      <c r="A52" s="4" t="s">
        <v>0</v>
      </c>
      <c r="B52" s="134">
        <v>4550</v>
      </c>
      <c r="C52" s="118" t="s">
        <v>116</v>
      </c>
    </row>
    <row r="53" spans="1:3" s="4" customFormat="1" x14ac:dyDescent="0.15">
      <c r="A53" s="4" t="s">
        <v>71</v>
      </c>
      <c r="B53" s="134">
        <v>3050</v>
      </c>
      <c r="C53" s="118"/>
    </row>
    <row r="54" spans="1:3" s="4" customFormat="1" x14ac:dyDescent="0.15">
      <c r="A54" s="4" t="s">
        <v>15</v>
      </c>
      <c r="B54" s="134">
        <v>4000</v>
      </c>
      <c r="C54" s="118"/>
    </row>
    <row r="55" spans="1:3" s="4" customFormat="1" x14ac:dyDescent="0.15">
      <c r="A55" s="4" t="s">
        <v>41</v>
      </c>
      <c r="B55" s="134">
        <v>4000</v>
      </c>
      <c r="C55" s="118"/>
    </row>
    <row r="56" spans="1:3" s="4" customFormat="1" x14ac:dyDescent="0.15">
      <c r="A56" s="57" t="s">
        <v>47</v>
      </c>
      <c r="B56" s="134">
        <v>5000</v>
      </c>
      <c r="C56" s="118" t="s">
        <v>66</v>
      </c>
    </row>
    <row r="57" spans="1:3" s="4" customFormat="1" x14ac:dyDescent="0.15">
      <c r="A57" s="57" t="s">
        <v>86</v>
      </c>
      <c r="B57" s="134">
        <v>4500</v>
      </c>
      <c r="C57" s="118"/>
    </row>
    <row r="58" spans="1:3" s="4" customFormat="1" x14ac:dyDescent="0.15">
      <c r="A58" s="57" t="s">
        <v>3</v>
      </c>
      <c r="B58" s="134">
        <v>5250</v>
      </c>
      <c r="C58" s="118" t="s">
        <v>110</v>
      </c>
    </row>
    <row r="59" spans="1:3" s="4" customFormat="1" x14ac:dyDescent="0.15">
      <c r="A59" s="57" t="s">
        <v>108</v>
      </c>
      <c r="B59" s="134">
        <v>5250</v>
      </c>
      <c r="C59" s="118"/>
    </row>
    <row r="60" spans="1:3" s="4" customFormat="1" x14ac:dyDescent="0.15">
      <c r="A60" s="228" t="s">
        <v>177</v>
      </c>
      <c r="B60" s="185">
        <v>5250</v>
      </c>
      <c r="C60" s="118"/>
    </row>
    <row r="61" spans="1:3" s="4" customFormat="1" x14ac:dyDescent="0.15">
      <c r="A61" s="228" t="s">
        <v>333</v>
      </c>
      <c r="B61" s="185">
        <v>5250</v>
      </c>
      <c r="C61" s="118"/>
    </row>
    <row r="62" spans="1:3" s="4" customFormat="1" x14ac:dyDescent="0.15">
      <c r="B62" s="134"/>
      <c r="C62" s="118"/>
    </row>
  </sheetData>
  <sortState xmlns:xlrd2="http://schemas.microsoft.com/office/spreadsheetml/2017/richdata2" ref="A50:G60">
    <sortCondition ref="A50:A60"/>
  </sortState>
  <phoneticPr fontId="23" type="noConversion"/>
  <printOptions horizontalCentered="1" verticalCentered="1"/>
  <pageMargins left="0.7" right="0.7" top="0.6" bottom="0.3" header="0.5" footer="0.5"/>
  <pageSetup paperSize="9" scale="97" orientation="portrait" horizontalDpi="0" verticalDpi="0" copies="6"/>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19"/>
  <sheetViews>
    <sheetView zoomScale="175" workbookViewId="0">
      <selection activeCell="B11" sqref="B11"/>
    </sheetView>
  </sheetViews>
  <sheetFormatPr baseColWidth="10" defaultRowHeight="13" x14ac:dyDescent="0.15"/>
  <cols>
    <col min="1" max="1" width="32.1640625" style="4" customWidth="1"/>
    <col min="2" max="2" width="9" style="4" customWidth="1"/>
    <col min="3" max="3" width="35.1640625" style="4" customWidth="1"/>
    <col min="4" max="16384" width="10.83203125" style="4"/>
  </cols>
  <sheetData>
    <row r="1" spans="1:3" ht="15" customHeight="1" x14ac:dyDescent="0.2">
      <c r="A1" s="261" t="s">
        <v>194</v>
      </c>
    </row>
    <row r="2" spans="1:3" ht="15" customHeight="1" x14ac:dyDescent="0.15">
      <c r="A2" s="6"/>
    </row>
    <row r="3" spans="1:3" ht="15" customHeight="1" x14ac:dyDescent="0.15">
      <c r="A3" s="4" t="s">
        <v>135</v>
      </c>
      <c r="B3" s="98">
        <v>4200</v>
      </c>
    </row>
    <row r="4" spans="1:3" ht="15" customHeight="1" x14ac:dyDescent="0.15">
      <c r="A4" s="4" t="s">
        <v>111</v>
      </c>
      <c r="B4" s="98">
        <v>4200</v>
      </c>
    </row>
    <row r="5" spans="1:3" ht="15" customHeight="1" x14ac:dyDescent="0.15">
      <c r="A5" s="4" t="s">
        <v>0</v>
      </c>
      <c r="B5" s="98">
        <v>4550</v>
      </c>
      <c r="C5" s="4" t="s">
        <v>116</v>
      </c>
    </row>
    <row r="6" spans="1:3" ht="15" customHeight="1" x14ac:dyDescent="0.15">
      <c r="A6" s="30" t="s">
        <v>84</v>
      </c>
      <c r="B6" s="98">
        <v>-750</v>
      </c>
    </row>
    <row r="7" spans="1:3" ht="15" customHeight="1" x14ac:dyDescent="0.15">
      <c r="A7" s="30" t="s">
        <v>85</v>
      </c>
      <c r="B7" s="98">
        <v>-750</v>
      </c>
    </row>
    <row r="8" spans="1:3" ht="15" customHeight="1" x14ac:dyDescent="0.15">
      <c r="A8" s="4" t="s">
        <v>40</v>
      </c>
      <c r="B8" s="98">
        <f>+B5+B6+B7</f>
        <v>3050</v>
      </c>
    </row>
    <row r="9" spans="1:3" ht="15" customHeight="1" x14ac:dyDescent="0.15">
      <c r="A9" s="4" t="s">
        <v>31</v>
      </c>
      <c r="B9" s="98">
        <v>4000</v>
      </c>
    </row>
    <row r="10" spans="1:3" ht="15" customHeight="1" x14ac:dyDescent="0.15">
      <c r="A10" s="4" t="s">
        <v>41</v>
      </c>
      <c r="B10" s="98">
        <v>4000</v>
      </c>
    </row>
    <row r="11" spans="1:3" ht="15" customHeight="1" x14ac:dyDescent="0.15">
      <c r="A11" s="57" t="s">
        <v>47</v>
      </c>
      <c r="B11" s="98">
        <v>5000</v>
      </c>
      <c r="C11" s="4" t="s">
        <v>117</v>
      </c>
    </row>
    <row r="12" spans="1:3" ht="15" customHeight="1" x14ac:dyDescent="0.15">
      <c r="A12" s="57" t="s">
        <v>86</v>
      </c>
      <c r="B12" s="98">
        <v>4500</v>
      </c>
    </row>
    <row r="13" spans="1:3" ht="15" customHeight="1" x14ac:dyDescent="0.15">
      <c r="A13" s="57" t="s">
        <v>3</v>
      </c>
      <c r="B13" s="98">
        <v>5250</v>
      </c>
      <c r="C13" s="4" t="s">
        <v>117</v>
      </c>
    </row>
    <row r="14" spans="1:3" ht="15" customHeight="1" x14ac:dyDescent="0.15"/>
    <row r="15" spans="1:3" ht="87" customHeight="1" x14ac:dyDescent="0.15">
      <c r="A15" s="422" t="s">
        <v>91</v>
      </c>
      <c r="B15" s="422"/>
      <c r="C15" s="422"/>
    </row>
    <row r="17" spans="1:2" x14ac:dyDescent="0.15">
      <c r="A17" s="57" t="s">
        <v>108</v>
      </c>
      <c r="B17" s="175">
        <v>5250</v>
      </c>
    </row>
    <row r="18" spans="1:2" x14ac:dyDescent="0.15">
      <c r="A18" s="57" t="s">
        <v>14</v>
      </c>
      <c r="B18" s="185">
        <v>5250</v>
      </c>
    </row>
    <row r="19" spans="1:2" x14ac:dyDescent="0.15">
      <c r="A19" s="57" t="s">
        <v>333</v>
      </c>
      <c r="B19" s="185">
        <v>5250</v>
      </c>
    </row>
  </sheetData>
  <mergeCells count="1">
    <mergeCell ref="A15:C15"/>
  </mergeCells>
  <phoneticPr fontId="23" type="noConversion"/>
  <printOptions horizontalCentered="1"/>
  <pageMargins left="0.75" right="0.75" top="1" bottom="1" header="0.5" footer="0.5"/>
  <pageSetup paperSize="9" orientation="portrait"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173F-BA08-8647-BE98-6C4B0CFC02F8}">
  <dimension ref="A1:P22"/>
  <sheetViews>
    <sheetView zoomScale="150" zoomScaleNormal="150" workbookViewId="0">
      <selection activeCell="M22" sqref="M22"/>
    </sheetView>
  </sheetViews>
  <sheetFormatPr baseColWidth="10" defaultRowHeight="13" customHeight="1" x14ac:dyDescent="0.15"/>
  <cols>
    <col min="1" max="1" width="5.33203125" customWidth="1"/>
    <col min="2" max="2" width="47.83203125" customWidth="1"/>
    <col min="3" max="7" width="9.1640625" style="139" bestFit="1" customWidth="1"/>
    <col min="8" max="8" width="9.1640625" bestFit="1" customWidth="1"/>
    <col min="9" max="11" width="8.6640625" bestFit="1" customWidth="1"/>
    <col min="12" max="12" width="8.6640625" style="139" customWidth="1"/>
    <col min="13" max="13" width="8.5" bestFit="1" customWidth="1"/>
    <col min="14" max="14" width="10.5" bestFit="1" customWidth="1"/>
    <col min="15" max="15" width="1.83203125" bestFit="1" customWidth="1"/>
    <col min="16" max="16" width="55.83203125" customWidth="1"/>
  </cols>
  <sheetData>
    <row r="1" spans="1:16" ht="13" customHeight="1" x14ac:dyDescent="0.2">
      <c r="A1" s="191" t="s">
        <v>158</v>
      </c>
      <c r="B1" s="192"/>
      <c r="C1" s="192"/>
      <c r="D1" s="192"/>
      <c r="E1" s="192"/>
      <c r="F1" s="192"/>
      <c r="G1" s="192"/>
      <c r="H1" s="193"/>
      <c r="I1" s="193"/>
      <c r="J1" s="193"/>
      <c r="K1" s="193"/>
      <c r="L1" s="193"/>
      <c r="M1" s="193"/>
      <c r="N1" s="194"/>
      <c r="O1" s="195"/>
      <c r="P1" s="196"/>
    </row>
    <row r="2" spans="1:16" ht="13" customHeight="1" x14ac:dyDescent="0.15">
      <c r="A2" s="197"/>
      <c r="B2" s="198"/>
      <c r="C2" s="198"/>
      <c r="D2" s="198"/>
      <c r="E2" s="198"/>
      <c r="F2" s="198"/>
      <c r="G2" s="198"/>
      <c r="H2" s="199"/>
      <c r="I2" s="199"/>
      <c r="J2" s="199"/>
      <c r="K2" s="199"/>
      <c r="L2" s="199"/>
      <c r="M2" s="199"/>
      <c r="N2" s="200"/>
      <c r="O2" s="201"/>
      <c r="P2" s="202"/>
    </row>
    <row r="3" spans="1:16" ht="13" customHeight="1" x14ac:dyDescent="0.2">
      <c r="A3" s="203" t="s">
        <v>233</v>
      </c>
      <c r="B3" s="198"/>
      <c r="C3" s="198"/>
      <c r="D3" s="198"/>
      <c r="E3" s="198"/>
      <c r="F3" s="198"/>
      <c r="G3" s="198"/>
      <c r="H3" s="199"/>
      <c r="I3" s="199"/>
      <c r="J3" s="199"/>
      <c r="K3" s="199"/>
      <c r="L3" s="199"/>
      <c r="M3" s="199"/>
      <c r="N3" s="200"/>
      <c r="O3" s="201"/>
      <c r="P3" s="202"/>
    </row>
    <row r="4" spans="1:16" ht="13" customHeight="1" x14ac:dyDescent="0.2">
      <c r="A4" s="203"/>
      <c r="B4" s="198"/>
      <c r="C4" s="198"/>
      <c r="D4" s="198"/>
      <c r="E4" s="198"/>
      <c r="F4" s="198"/>
      <c r="G4" s="198"/>
      <c r="H4" s="199"/>
      <c r="I4" s="199"/>
      <c r="J4" s="199"/>
      <c r="K4" s="199"/>
      <c r="L4" s="199"/>
      <c r="M4" s="199"/>
      <c r="N4" s="200"/>
      <c r="O4" s="201"/>
      <c r="P4" s="202"/>
    </row>
    <row r="5" spans="1:16" ht="13" customHeight="1" x14ac:dyDescent="0.15">
      <c r="A5" s="197"/>
      <c r="B5" s="204" t="s">
        <v>146</v>
      </c>
      <c r="C5" s="204"/>
      <c r="D5" s="204"/>
      <c r="E5" s="204"/>
      <c r="F5" s="204"/>
      <c r="G5" s="204"/>
      <c r="H5" s="199"/>
      <c r="I5" s="199"/>
      <c r="J5" s="199"/>
      <c r="K5" s="199"/>
      <c r="L5" s="199"/>
      <c r="M5" s="199"/>
      <c r="N5" s="200"/>
      <c r="O5" s="201"/>
      <c r="P5" s="202"/>
    </row>
    <row r="6" spans="1:16" ht="13" customHeight="1" x14ac:dyDescent="0.15">
      <c r="A6" s="205"/>
      <c r="B6" s="206"/>
      <c r="C6" s="206"/>
      <c r="D6" s="206"/>
      <c r="E6" s="206"/>
      <c r="F6" s="206"/>
      <c r="G6" s="206"/>
      <c r="H6" s="207"/>
      <c r="I6" s="207"/>
      <c r="J6" s="207"/>
      <c r="K6" s="207"/>
      <c r="L6" s="207"/>
      <c r="M6" s="207"/>
      <c r="N6" s="200"/>
      <c r="O6" s="201"/>
      <c r="P6" s="202"/>
    </row>
    <row r="7" spans="1:16" ht="39" customHeight="1" x14ac:dyDescent="0.15">
      <c r="A7" s="208"/>
      <c r="B7" s="209"/>
      <c r="C7" s="230" t="s">
        <v>187</v>
      </c>
      <c r="D7" s="230" t="s">
        <v>188</v>
      </c>
      <c r="E7" s="231" t="s">
        <v>190</v>
      </c>
      <c r="F7" s="231" t="s">
        <v>191</v>
      </c>
      <c r="G7" s="231" t="s">
        <v>192</v>
      </c>
      <c r="H7" s="231" t="s">
        <v>193</v>
      </c>
      <c r="I7" s="223" t="s">
        <v>170</v>
      </c>
      <c r="J7" s="223" t="s">
        <v>171</v>
      </c>
      <c r="K7" s="169" t="s">
        <v>147</v>
      </c>
      <c r="L7" s="264" t="s">
        <v>232</v>
      </c>
      <c r="M7" s="210"/>
      <c r="N7" s="211"/>
      <c r="O7" s="212"/>
      <c r="P7" s="202"/>
    </row>
    <row r="8" spans="1:16" ht="13" customHeight="1" x14ac:dyDescent="0.15">
      <c r="A8" s="197"/>
      <c r="B8" s="198"/>
      <c r="C8" s="229" t="s">
        <v>83</v>
      </c>
      <c r="D8" s="229" t="s">
        <v>83</v>
      </c>
      <c r="E8" s="229" t="s">
        <v>189</v>
      </c>
      <c r="F8" s="229" t="s">
        <v>83</v>
      </c>
      <c r="G8" s="229" t="s">
        <v>83</v>
      </c>
      <c r="H8" s="229" t="s">
        <v>83</v>
      </c>
      <c r="I8" s="213" t="s">
        <v>83</v>
      </c>
      <c r="J8" s="170" t="s">
        <v>94</v>
      </c>
      <c r="K8" s="170" t="s">
        <v>94</v>
      </c>
      <c r="L8" s="170" t="s">
        <v>94</v>
      </c>
      <c r="M8" s="214"/>
      <c r="N8" s="215"/>
      <c r="O8" s="201"/>
      <c r="P8" s="202"/>
    </row>
    <row r="9" spans="1:16" ht="13" customHeight="1" x14ac:dyDescent="0.15">
      <c r="A9" s="197">
        <v>1</v>
      </c>
      <c r="B9" s="201" t="s">
        <v>81</v>
      </c>
      <c r="C9" s="229">
        <v>1731.94</v>
      </c>
      <c r="D9" s="229">
        <v>1927.25</v>
      </c>
      <c r="E9" s="229">
        <v>3136.19</v>
      </c>
      <c r="F9" s="172">
        <v>4945.8100000000004</v>
      </c>
      <c r="G9" s="172">
        <v>6745.19</v>
      </c>
      <c r="H9" s="172">
        <v>6721.2599999999993</v>
      </c>
      <c r="I9" s="216">
        <v>8123</v>
      </c>
      <c r="J9" s="216">
        <v>10275</v>
      </c>
      <c r="K9" s="172">
        <v>10763.849999999999</v>
      </c>
      <c r="L9" s="172">
        <f>Variances!F11</f>
        <v>16458.18</v>
      </c>
      <c r="M9" s="199"/>
      <c r="N9" s="217"/>
      <c r="O9" s="201"/>
      <c r="P9" s="202"/>
    </row>
    <row r="10" spans="1:16" ht="13" customHeight="1" x14ac:dyDescent="0.15">
      <c r="A10" s="197">
        <v>2</v>
      </c>
      <c r="B10" s="201" t="s">
        <v>160</v>
      </c>
      <c r="C10" s="229">
        <v>4200</v>
      </c>
      <c r="D10" s="229">
        <v>4550</v>
      </c>
      <c r="E10" s="229">
        <v>3050</v>
      </c>
      <c r="F10" s="172">
        <v>4000</v>
      </c>
      <c r="G10" s="172">
        <v>4000</v>
      </c>
      <c r="H10" s="172">
        <v>5000</v>
      </c>
      <c r="I10" s="216">
        <v>4500</v>
      </c>
      <c r="J10" s="216">
        <v>5250</v>
      </c>
      <c r="K10" s="172">
        <v>5250</v>
      </c>
      <c r="L10" s="172">
        <f>Variances!F13</f>
        <v>5250</v>
      </c>
      <c r="M10" s="199"/>
      <c r="N10" s="217"/>
      <c r="O10" s="201"/>
      <c r="P10" s="202"/>
    </row>
    <row r="11" spans="1:16" ht="13" customHeight="1" x14ac:dyDescent="0.15">
      <c r="A11" s="197">
        <v>3</v>
      </c>
      <c r="B11" s="201" t="s">
        <v>161</v>
      </c>
      <c r="C11" s="229">
        <v>79.929999999999993</v>
      </c>
      <c r="D11" s="229">
        <v>372.78000000000003</v>
      </c>
      <c r="E11" s="229">
        <v>2813.14</v>
      </c>
      <c r="F11" s="172">
        <v>2037.2899999999997</v>
      </c>
      <c r="G11" s="172">
        <v>818.91000000000008</v>
      </c>
      <c r="H11" s="172">
        <v>595.13000000000011</v>
      </c>
      <c r="I11" s="216">
        <v>2543</v>
      </c>
      <c r="J11" s="216">
        <v>347</v>
      </c>
      <c r="K11" s="172">
        <v>8522.0300000000007</v>
      </c>
      <c r="L11" s="172">
        <f>Variances!F15</f>
        <v>112.16000000000001</v>
      </c>
      <c r="M11" s="199"/>
      <c r="N11" s="217"/>
      <c r="O11" s="201"/>
      <c r="P11" s="202"/>
    </row>
    <row r="12" spans="1:16" ht="13" customHeight="1" x14ac:dyDescent="0.15">
      <c r="A12" s="197">
        <v>4</v>
      </c>
      <c r="B12" s="201" t="s">
        <v>162</v>
      </c>
      <c r="C12" s="229">
        <v>-1293.32</v>
      </c>
      <c r="D12" s="229">
        <v>-1507.6399999999999</v>
      </c>
      <c r="E12" s="229">
        <v>-2320.63</v>
      </c>
      <c r="F12" s="172">
        <v>-2175.2600000000002</v>
      </c>
      <c r="G12" s="172">
        <v>-2081.34</v>
      </c>
      <c r="H12" s="172">
        <v>-2177.77</v>
      </c>
      <c r="I12" s="216">
        <v>-3281</v>
      </c>
      <c r="J12" s="216">
        <v>-3309</v>
      </c>
      <c r="K12" s="172">
        <v>-4481.7400000000007</v>
      </c>
      <c r="L12" s="172">
        <f>-Variances!F17</f>
        <v>-2873.77</v>
      </c>
      <c r="M12" s="199"/>
      <c r="N12" s="217"/>
      <c r="O12" s="201"/>
      <c r="P12" s="202"/>
    </row>
    <row r="13" spans="1:16" ht="13" customHeight="1" x14ac:dyDescent="0.15">
      <c r="A13" s="197">
        <v>5</v>
      </c>
      <c r="B13" s="201" t="s">
        <v>163</v>
      </c>
      <c r="C13" s="229" t="s">
        <v>35</v>
      </c>
      <c r="D13" s="229" t="s">
        <v>35</v>
      </c>
      <c r="E13" s="229" t="s">
        <v>35</v>
      </c>
      <c r="F13" s="172" t="s">
        <v>35</v>
      </c>
      <c r="G13" s="172" t="s">
        <v>35</v>
      </c>
      <c r="H13" s="172" t="s">
        <v>35</v>
      </c>
      <c r="I13" s="216" t="s">
        <v>35</v>
      </c>
      <c r="J13" s="216" t="s">
        <v>35</v>
      </c>
      <c r="K13" s="172" t="s">
        <v>35</v>
      </c>
      <c r="L13" s="172" t="s">
        <v>35</v>
      </c>
      <c r="M13" s="199"/>
      <c r="N13" s="217"/>
      <c r="O13" s="201"/>
      <c r="P13" s="202"/>
    </row>
    <row r="14" spans="1:16" ht="13" customHeight="1" x14ac:dyDescent="0.15">
      <c r="A14" s="197">
        <v>6</v>
      </c>
      <c r="B14" s="201" t="s">
        <v>164</v>
      </c>
      <c r="C14" s="229">
        <v>-2791.3</v>
      </c>
      <c r="D14" s="229">
        <v>-2206.2000000000003</v>
      </c>
      <c r="E14" s="229">
        <v>-1732.89</v>
      </c>
      <c r="F14" s="172">
        <v>-2062.65</v>
      </c>
      <c r="G14" s="172">
        <v>-2761.5</v>
      </c>
      <c r="H14" s="172">
        <v>-2016.0900000000001</v>
      </c>
      <c r="I14" s="216">
        <v>-1609</v>
      </c>
      <c r="J14" s="216">
        <v>-1799</v>
      </c>
      <c r="K14" s="172">
        <v>-3595.96</v>
      </c>
      <c r="L14" s="172">
        <f>-Variances!F21</f>
        <v>-2630.73</v>
      </c>
      <c r="M14" s="199"/>
      <c r="N14" s="217"/>
      <c r="O14" s="201"/>
      <c r="P14" s="202"/>
    </row>
    <row r="15" spans="1:16" ht="13" customHeight="1" x14ac:dyDescent="0.15">
      <c r="A15" s="197">
        <v>7</v>
      </c>
      <c r="B15" s="201" t="s">
        <v>165</v>
      </c>
      <c r="C15" s="229">
        <v>1927.2500000000009</v>
      </c>
      <c r="D15" s="229">
        <v>3136.1899999999991</v>
      </c>
      <c r="E15" s="229">
        <v>4945.8100000000004</v>
      </c>
      <c r="F15" s="172">
        <v>6745.1900000000005</v>
      </c>
      <c r="G15" s="172">
        <v>6721.2599999999984</v>
      </c>
      <c r="H15" s="172">
        <v>8122.5299999999988</v>
      </c>
      <c r="I15" s="216">
        <v>10275</v>
      </c>
      <c r="J15" s="216">
        <v>10764</v>
      </c>
      <c r="K15" s="172">
        <v>16458.18</v>
      </c>
      <c r="L15" s="172">
        <f>Variances!F23</f>
        <v>16315.84</v>
      </c>
      <c r="M15" s="199"/>
      <c r="N15" s="217"/>
      <c r="O15" s="201"/>
      <c r="P15" s="202"/>
    </row>
    <row r="16" spans="1:16" ht="13" customHeight="1" x14ac:dyDescent="0.15">
      <c r="A16" s="197">
        <v>8</v>
      </c>
      <c r="B16" s="201" t="s">
        <v>166</v>
      </c>
      <c r="C16" s="229">
        <v>1927.25</v>
      </c>
      <c r="D16" s="229">
        <v>3136.19</v>
      </c>
      <c r="E16" s="229">
        <v>4945.8100000000004</v>
      </c>
      <c r="F16" s="172">
        <v>6745.1899999999987</v>
      </c>
      <c r="G16" s="172">
        <v>6721.2599999999993</v>
      </c>
      <c r="H16" s="172">
        <v>8122.5299999999988</v>
      </c>
      <c r="I16" s="216">
        <v>10275</v>
      </c>
      <c r="J16" s="216">
        <v>10764</v>
      </c>
      <c r="K16" s="172">
        <v>16458.18</v>
      </c>
      <c r="L16" s="172">
        <f>Variances!F26</f>
        <v>16315.840000000004</v>
      </c>
      <c r="M16" s="199"/>
      <c r="N16" s="217"/>
      <c r="O16" s="201"/>
      <c r="P16" s="202"/>
    </row>
    <row r="17" spans="1:16" ht="13" customHeight="1" x14ac:dyDescent="0.15">
      <c r="A17" s="197">
        <v>9</v>
      </c>
      <c r="B17" s="201" t="s">
        <v>167</v>
      </c>
      <c r="C17" s="229">
        <v>39236</v>
      </c>
      <c r="D17" s="229">
        <v>39236</v>
      </c>
      <c r="E17" s="229">
        <v>39236</v>
      </c>
      <c r="F17" s="172">
        <v>39236</v>
      </c>
      <c r="G17" s="172">
        <v>40247.599999999999</v>
      </c>
      <c r="H17" s="172">
        <v>40247.599999999999</v>
      </c>
      <c r="I17" s="216">
        <v>40248</v>
      </c>
      <c r="J17" s="216">
        <v>40248</v>
      </c>
      <c r="K17" s="172">
        <v>40610.049999999996</v>
      </c>
      <c r="L17" s="172">
        <f>Variances!F28</f>
        <v>40610</v>
      </c>
      <c r="M17" s="199"/>
      <c r="N17" s="217"/>
      <c r="O17" s="201"/>
      <c r="P17" s="202"/>
    </row>
    <row r="18" spans="1:16" ht="13" customHeight="1" x14ac:dyDescent="0.15">
      <c r="A18" s="197">
        <v>10</v>
      </c>
      <c r="B18" s="201" t="s">
        <v>168</v>
      </c>
      <c r="C18" s="56" t="s">
        <v>35</v>
      </c>
      <c r="D18" s="56" t="s">
        <v>35</v>
      </c>
      <c r="E18" s="56" t="s">
        <v>35</v>
      </c>
      <c r="F18" s="139" t="s">
        <v>35</v>
      </c>
      <c r="G18" s="139" t="s">
        <v>35</v>
      </c>
      <c r="H18" s="139" t="s">
        <v>35</v>
      </c>
      <c r="I18" s="218" t="s">
        <v>35</v>
      </c>
      <c r="J18" s="172" t="s">
        <v>35</v>
      </c>
      <c r="K18" s="172" t="s">
        <v>35</v>
      </c>
      <c r="L18" s="172" t="s">
        <v>35</v>
      </c>
      <c r="M18" s="199"/>
      <c r="N18" s="200"/>
      <c r="O18" s="201"/>
      <c r="P18" s="202"/>
    </row>
    <row r="19" spans="1:16" ht="13" customHeight="1" x14ac:dyDescent="0.15">
      <c r="A19" s="197">
        <v>11</v>
      </c>
      <c r="B19" s="201" t="s">
        <v>169</v>
      </c>
      <c r="C19" s="56" t="s">
        <v>35</v>
      </c>
      <c r="D19" s="56" t="s">
        <v>35</v>
      </c>
      <c r="E19" s="56" t="s">
        <v>35</v>
      </c>
      <c r="F19" s="139" t="s">
        <v>35</v>
      </c>
      <c r="G19" s="139" t="s">
        <v>35</v>
      </c>
      <c r="H19" s="139" t="s">
        <v>35</v>
      </c>
      <c r="I19" s="199" t="s">
        <v>35</v>
      </c>
      <c r="J19" s="172" t="s">
        <v>35</v>
      </c>
      <c r="K19" s="172" t="s">
        <v>35</v>
      </c>
      <c r="L19" s="172" t="s">
        <v>35</v>
      </c>
      <c r="M19" s="199"/>
      <c r="N19" s="200"/>
      <c r="O19" s="201"/>
      <c r="P19" s="202"/>
    </row>
    <row r="20" spans="1:16" ht="13" customHeight="1" x14ac:dyDescent="0.15">
      <c r="A20" s="219"/>
      <c r="B20" s="220"/>
      <c r="C20" s="220"/>
      <c r="D20" s="220"/>
      <c r="E20" s="220"/>
      <c r="F20" s="220"/>
      <c r="G20" s="220"/>
      <c r="H20" s="221"/>
      <c r="I20" s="221"/>
      <c r="J20" s="221"/>
      <c r="K20" s="221"/>
      <c r="L20" s="221"/>
      <c r="M20" s="221"/>
      <c r="N20" s="222"/>
      <c r="O20" s="201"/>
      <c r="P20" s="202"/>
    </row>
    <row r="22" spans="1:16" ht="13" customHeight="1" x14ac:dyDescent="0.15">
      <c r="L22" s="139" t="s">
        <v>403</v>
      </c>
    </row>
  </sheetData>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30"/>
  <sheetViews>
    <sheetView zoomScale="150" zoomScaleNormal="150" workbookViewId="0">
      <selection activeCell="I20" sqref="I20"/>
    </sheetView>
  </sheetViews>
  <sheetFormatPr baseColWidth="10" defaultRowHeight="16" customHeight="1" x14ac:dyDescent="0.15"/>
  <cols>
    <col min="1" max="1" width="11.5" style="236" bestFit="1" customWidth="1"/>
    <col min="2" max="2" width="31.1640625" style="236" customWidth="1"/>
    <col min="3" max="3" width="10.83203125" style="238" customWidth="1"/>
    <col min="4" max="4" width="11.33203125" style="238" customWidth="1"/>
    <col min="5" max="5" width="11.1640625" style="236" customWidth="1"/>
    <col min="6" max="6" width="10.5" style="236" customWidth="1"/>
    <col min="7" max="7" width="1.6640625" style="236" customWidth="1"/>
    <col min="8" max="8" width="19.33203125" style="236" customWidth="1"/>
    <col min="9" max="9" width="7" style="236" customWidth="1"/>
    <col min="10" max="11" width="8.6640625" style="236" customWidth="1"/>
    <col min="12" max="12" width="8.33203125" style="236" customWidth="1"/>
    <col min="13" max="13" width="15.33203125" style="236" customWidth="1"/>
    <col min="14" max="14" width="31" style="236" customWidth="1"/>
    <col min="15" max="16384" width="10.83203125" style="236"/>
  </cols>
  <sheetData>
    <row r="1" spans="1:15" ht="16" customHeight="1" x14ac:dyDescent="0.2">
      <c r="A1" s="249" t="s">
        <v>229</v>
      </c>
      <c r="C1" s="237"/>
    </row>
    <row r="3" spans="1:15" ht="16" customHeight="1" x14ac:dyDescent="0.2">
      <c r="A3" s="235" t="s">
        <v>150</v>
      </c>
      <c r="D3" s="263" t="s">
        <v>230</v>
      </c>
      <c r="E3" s="395" t="s">
        <v>231</v>
      </c>
      <c r="F3" s="240" t="s">
        <v>329</v>
      </c>
      <c r="G3" s="240"/>
    </row>
    <row r="4" spans="1:15" s="250" customFormat="1" ht="16" customHeight="1" x14ac:dyDescent="0.2">
      <c r="C4" s="251" t="s">
        <v>83</v>
      </c>
      <c r="D4" s="251" t="s">
        <v>184</v>
      </c>
      <c r="E4" s="250" t="s">
        <v>184</v>
      </c>
    </row>
    <row r="5" spans="1:15" s="250" customFormat="1" ht="16" customHeight="1" x14ac:dyDescent="0.2">
      <c r="B5" s="250" t="s">
        <v>76</v>
      </c>
      <c r="C5" s="252">
        <v>4000</v>
      </c>
      <c r="D5" s="252"/>
      <c r="F5" s="252">
        <f>C5-D5-E5</f>
        <v>4000</v>
      </c>
      <c r="G5" s="252"/>
      <c r="H5" s="250" t="s">
        <v>154</v>
      </c>
    </row>
    <row r="6" spans="1:15" s="250" customFormat="1" ht="16" customHeight="1" x14ac:dyDescent="0.2">
      <c r="B6" s="250" t="s">
        <v>400</v>
      </c>
      <c r="C6" s="252">
        <v>8333.89</v>
      </c>
      <c r="D6" s="252"/>
      <c r="F6" s="252">
        <f t="shared" ref="F6:F15" si="0">C6-D6-E6</f>
        <v>8333.89</v>
      </c>
      <c r="G6" s="252"/>
      <c r="H6" s="252" t="s">
        <v>226</v>
      </c>
    </row>
    <row r="7" spans="1:15" s="250" customFormat="1" ht="16" customHeight="1" x14ac:dyDescent="0.2">
      <c r="C7" s="252"/>
      <c r="D7" s="252"/>
      <c r="F7" s="252"/>
      <c r="G7" s="252"/>
      <c r="H7" s="252"/>
    </row>
    <row r="8" spans="1:15" s="250" customFormat="1" ht="16" customHeight="1" x14ac:dyDescent="0.2">
      <c r="A8" s="253">
        <v>41575</v>
      </c>
      <c r="B8" s="250" t="s">
        <v>148</v>
      </c>
      <c r="C8" s="252">
        <v>2244.9</v>
      </c>
      <c r="D8" s="252">
        <v>0</v>
      </c>
      <c r="E8" s="250">
        <v>0</v>
      </c>
      <c r="F8" s="252">
        <f t="shared" si="0"/>
        <v>2244.9</v>
      </c>
      <c r="G8" s="252"/>
      <c r="H8" s="250" t="s">
        <v>151</v>
      </c>
      <c r="I8" s="250" t="s">
        <v>153</v>
      </c>
    </row>
    <row r="9" spans="1:15" s="250" customFormat="1" ht="16" customHeight="1" x14ac:dyDescent="0.2">
      <c r="A9" s="253">
        <v>41575</v>
      </c>
      <c r="B9" s="254" t="s">
        <v>149</v>
      </c>
      <c r="C9" s="252">
        <v>371</v>
      </c>
      <c r="D9" s="252">
        <v>0</v>
      </c>
      <c r="E9" s="250">
        <v>0</v>
      </c>
      <c r="F9" s="252">
        <f t="shared" si="0"/>
        <v>371</v>
      </c>
      <c r="G9" s="252"/>
      <c r="H9" s="254" t="s">
        <v>152</v>
      </c>
    </row>
    <row r="10" spans="1:15" s="250" customFormat="1" ht="16" customHeight="1" x14ac:dyDescent="0.2">
      <c r="C10" s="252"/>
      <c r="D10" s="252"/>
      <c r="F10" s="252"/>
      <c r="G10" s="252"/>
      <c r="H10" s="252"/>
    </row>
    <row r="11" spans="1:15" s="250" customFormat="1" ht="16" customHeight="1" x14ac:dyDescent="0.2">
      <c r="A11" s="253">
        <v>42431</v>
      </c>
      <c r="B11" s="250" t="s">
        <v>78</v>
      </c>
      <c r="C11" s="252">
        <v>449</v>
      </c>
      <c r="D11" s="252">
        <v>362.45</v>
      </c>
      <c r="F11" s="252">
        <f t="shared" si="0"/>
        <v>86.550000000000011</v>
      </c>
      <c r="G11" s="252"/>
      <c r="H11" s="250" t="s">
        <v>65</v>
      </c>
      <c r="I11" s="255"/>
      <c r="N11" s="250" t="s">
        <v>185</v>
      </c>
    </row>
    <row r="12" spans="1:15" s="250" customFormat="1" ht="16" customHeight="1" x14ac:dyDescent="0.2">
      <c r="A12" s="253">
        <v>42928</v>
      </c>
      <c r="B12" s="250" t="s">
        <v>78</v>
      </c>
      <c r="C12" s="252">
        <v>579.95000000000005</v>
      </c>
      <c r="D12" s="252">
        <f>J12+K12</f>
        <v>127.78999999999999</v>
      </c>
      <c r="E12" s="252">
        <f>L12</f>
        <v>66.66</v>
      </c>
      <c r="F12" s="252">
        <f t="shared" si="0"/>
        <v>385.50000000000011</v>
      </c>
      <c r="G12" s="252"/>
      <c r="H12" s="250" t="s">
        <v>79</v>
      </c>
      <c r="I12" s="252" t="s">
        <v>54</v>
      </c>
      <c r="J12" s="256">
        <v>61.13</v>
      </c>
      <c r="K12" s="256">
        <v>66.66</v>
      </c>
      <c r="L12" s="252">
        <v>66.66</v>
      </c>
      <c r="M12" s="252" t="s">
        <v>228</v>
      </c>
      <c r="N12" s="252" t="s">
        <v>328</v>
      </c>
    </row>
    <row r="13" spans="1:15" s="250" customFormat="1" ht="16" customHeight="1" x14ac:dyDescent="0.2">
      <c r="A13" s="253">
        <v>43140</v>
      </c>
      <c r="B13" s="250" t="s">
        <v>64</v>
      </c>
      <c r="C13" s="252">
        <v>1632.52</v>
      </c>
      <c r="D13" s="252">
        <f>J13+K13</f>
        <v>1460.72</v>
      </c>
      <c r="E13" s="252">
        <f>L13</f>
        <v>171.8</v>
      </c>
      <c r="F13" s="252">
        <f t="shared" si="0"/>
        <v>0</v>
      </c>
      <c r="G13" s="252"/>
      <c r="H13" s="250" t="s">
        <v>227</v>
      </c>
      <c r="I13" s="252" t="s">
        <v>54</v>
      </c>
      <c r="J13" s="256">
        <v>790.72</v>
      </c>
      <c r="K13" s="256">
        <v>670</v>
      </c>
      <c r="L13" s="252">
        <v>171.8</v>
      </c>
      <c r="M13" s="252" t="s">
        <v>228</v>
      </c>
      <c r="N13" s="252"/>
      <c r="O13" s="252"/>
    </row>
    <row r="14" spans="1:15" s="250" customFormat="1" ht="16" customHeight="1" x14ac:dyDescent="0.2">
      <c r="C14" s="252"/>
      <c r="D14" s="252"/>
      <c r="F14" s="252"/>
      <c r="G14" s="252"/>
    </row>
    <row r="15" spans="1:15" s="250" customFormat="1" ht="16" customHeight="1" x14ac:dyDescent="0.2">
      <c r="A15" s="253">
        <v>43190</v>
      </c>
      <c r="B15" s="250" t="s">
        <v>77</v>
      </c>
      <c r="C15" s="252">
        <f>((6*120)+60+100+50)</f>
        <v>930</v>
      </c>
      <c r="D15" s="252">
        <v>0</v>
      </c>
      <c r="E15" s="250">
        <v>0</v>
      </c>
      <c r="F15" s="252">
        <f t="shared" si="0"/>
        <v>930</v>
      </c>
      <c r="G15" s="252"/>
      <c r="H15" s="250" t="s">
        <v>115</v>
      </c>
      <c r="J15" s="252" t="s">
        <v>5</v>
      </c>
    </row>
    <row r="16" spans="1:15" s="250" customFormat="1" ht="16" customHeight="1" x14ac:dyDescent="0.2">
      <c r="C16" s="252"/>
      <c r="D16" s="252"/>
      <c r="F16" s="252"/>
      <c r="G16" s="252"/>
    </row>
    <row r="17" spans="1:33" s="250" customFormat="1" ht="16" customHeight="1" x14ac:dyDescent="0.2">
      <c r="B17" s="250" t="s">
        <v>140</v>
      </c>
      <c r="C17" s="252"/>
      <c r="D17" s="252"/>
      <c r="F17" s="252"/>
      <c r="G17" s="252"/>
      <c r="H17" s="250" t="s">
        <v>155</v>
      </c>
    </row>
    <row r="18" spans="1:33" s="250" customFormat="1" ht="16" customHeight="1" x14ac:dyDescent="0.2">
      <c r="C18" s="252"/>
      <c r="D18" s="252"/>
      <c r="F18" s="252"/>
      <c r="G18" s="252"/>
    </row>
    <row r="19" spans="1:33" s="250" customFormat="1" ht="16" customHeight="1" x14ac:dyDescent="0.2">
      <c r="B19" s="250" t="s">
        <v>186</v>
      </c>
      <c r="C19" s="252">
        <f>SUM(C5:C18)</f>
        <v>18541.259999999998</v>
      </c>
      <c r="D19" s="252">
        <f>SUM(D5:D18)</f>
        <v>1950.96</v>
      </c>
      <c r="E19" s="252">
        <f>SUM(E5:E18)</f>
        <v>238.46</v>
      </c>
      <c r="F19" s="257">
        <f>SUM(F5:F18)</f>
        <v>16351.839999999998</v>
      </c>
      <c r="G19" s="257"/>
      <c r="I19" s="252"/>
      <c r="J19" s="252"/>
      <c r="K19" s="252"/>
      <c r="L19" s="252"/>
      <c r="M19" s="252"/>
      <c r="N19" s="252"/>
      <c r="O19" s="252"/>
      <c r="P19" s="252"/>
      <c r="Q19" s="252"/>
      <c r="R19" s="252"/>
      <c r="S19" s="252"/>
      <c r="T19" s="252"/>
      <c r="U19" s="252"/>
      <c r="V19" s="252"/>
      <c r="W19" s="252"/>
      <c r="X19" s="252"/>
      <c r="Y19" s="251"/>
      <c r="Z19" s="258"/>
      <c r="AA19" s="256"/>
      <c r="AB19" s="256"/>
      <c r="AC19" s="256"/>
      <c r="AD19" s="256"/>
      <c r="AF19" s="256"/>
      <c r="AG19" s="256"/>
    </row>
    <row r="20" spans="1:33" s="250" customFormat="1" ht="16" customHeight="1" x14ac:dyDescent="0.2">
      <c r="A20" s="259"/>
      <c r="C20" s="252"/>
      <c r="D20" s="252"/>
      <c r="H20" s="259"/>
      <c r="I20" s="252"/>
      <c r="J20" s="252"/>
      <c r="K20" s="252"/>
      <c r="L20" s="252"/>
      <c r="M20" s="252"/>
      <c r="N20" s="252"/>
      <c r="O20" s="252"/>
      <c r="P20" s="252"/>
      <c r="Q20" s="252"/>
      <c r="R20" s="252"/>
      <c r="S20" s="252"/>
      <c r="T20" s="252"/>
      <c r="U20" s="252"/>
      <c r="V20" s="252"/>
      <c r="W20" s="252"/>
      <c r="Y20" s="260"/>
      <c r="Z20" s="258"/>
      <c r="AA20" s="256"/>
      <c r="AB20" s="256"/>
      <c r="AC20" s="256"/>
      <c r="AD20" s="256"/>
      <c r="AF20" s="256"/>
      <c r="AG20" s="256"/>
    </row>
    <row r="21" spans="1:33" s="250" customFormat="1" ht="16" customHeight="1" x14ac:dyDescent="0.2">
      <c r="B21" s="239" t="s">
        <v>33</v>
      </c>
      <c r="D21" s="257">
        <f>C19-D19</f>
        <v>16590.3</v>
      </c>
      <c r="E21" s="257">
        <f>D21-E19</f>
        <v>16351.84</v>
      </c>
      <c r="F21" s="257"/>
      <c r="H21" s="252"/>
      <c r="I21" s="252"/>
      <c r="J21" s="252"/>
      <c r="K21" s="252"/>
      <c r="L21" s="252"/>
      <c r="M21" s="252"/>
      <c r="N21" s="252"/>
      <c r="O21" s="252"/>
      <c r="P21" s="252"/>
      <c r="Q21" s="252"/>
      <c r="R21" s="252"/>
      <c r="S21" s="252"/>
      <c r="T21" s="252"/>
      <c r="U21" s="252"/>
      <c r="V21" s="252"/>
      <c r="W21" s="252"/>
      <c r="Y21" s="260"/>
      <c r="Z21" s="258"/>
      <c r="AA21" s="256"/>
      <c r="AB21" s="256"/>
      <c r="AC21" s="256"/>
      <c r="AD21" s="256"/>
      <c r="AF21" s="256"/>
      <c r="AG21" s="256"/>
    </row>
    <row r="22" spans="1:33" ht="16" customHeight="1" x14ac:dyDescent="0.15">
      <c r="A22" s="242"/>
      <c r="I22" s="238"/>
      <c r="J22" s="238"/>
      <c r="K22" s="238"/>
      <c r="L22" s="238"/>
      <c r="M22" s="238"/>
      <c r="N22" s="238"/>
      <c r="O22" s="238"/>
      <c r="P22" s="238"/>
      <c r="Q22" s="238"/>
      <c r="R22" s="238"/>
      <c r="S22" s="238"/>
      <c r="T22" s="238"/>
      <c r="U22" s="238"/>
      <c r="V22" s="238"/>
      <c r="W22" s="238"/>
      <c r="Y22" s="247"/>
      <c r="Z22" s="246"/>
      <c r="AA22" s="243"/>
      <c r="AB22" s="243"/>
      <c r="AC22" s="243"/>
      <c r="AD22" s="243"/>
      <c r="AF22" s="243"/>
      <c r="AG22" s="243"/>
    </row>
    <row r="23" spans="1:33" ht="16" customHeight="1" x14ac:dyDescent="0.15">
      <c r="A23" s="242"/>
      <c r="I23" s="238"/>
      <c r="J23" s="244"/>
      <c r="K23" s="244"/>
      <c r="L23" s="244"/>
      <c r="M23" s="238"/>
      <c r="N23" s="238"/>
      <c r="O23" s="238"/>
      <c r="P23" s="238"/>
      <c r="Q23" s="238"/>
      <c r="R23" s="238"/>
      <c r="S23" s="238"/>
      <c r="T23" s="238"/>
      <c r="U23" s="238"/>
      <c r="V23" s="238"/>
      <c r="W23" s="238"/>
      <c r="Y23" s="247"/>
      <c r="Z23" s="246"/>
      <c r="AA23" s="243"/>
      <c r="AB23" s="243"/>
      <c r="AC23" s="243"/>
      <c r="AD23" s="243"/>
      <c r="AF23" s="243"/>
      <c r="AG23" s="243"/>
    </row>
    <row r="24" spans="1:33" ht="16" customHeight="1" x14ac:dyDescent="0.15">
      <c r="A24" s="242"/>
      <c r="I24" s="238"/>
      <c r="J24" s="244"/>
      <c r="K24" s="244"/>
      <c r="L24" s="244"/>
      <c r="M24" s="238"/>
      <c r="N24" s="238"/>
      <c r="O24" s="238"/>
      <c r="P24" s="238"/>
      <c r="Q24" s="238"/>
      <c r="R24" s="238"/>
      <c r="S24" s="238"/>
      <c r="T24" s="238"/>
      <c r="U24" s="238"/>
      <c r="V24" s="238"/>
      <c r="W24" s="238"/>
      <c r="Y24" s="247"/>
      <c r="Z24" s="246"/>
      <c r="AA24" s="243"/>
      <c r="AB24" s="243"/>
      <c r="AC24" s="243"/>
      <c r="AD24" s="243"/>
      <c r="AF24" s="243"/>
      <c r="AG24" s="243"/>
    </row>
    <row r="25" spans="1:33" ht="16" customHeight="1" x14ac:dyDescent="0.15">
      <c r="I25" s="238"/>
      <c r="J25" s="238"/>
      <c r="K25" s="238"/>
      <c r="L25" s="238"/>
      <c r="M25" s="238"/>
      <c r="N25" s="238"/>
      <c r="O25" s="238"/>
      <c r="P25" s="238"/>
      <c r="Q25" s="238"/>
      <c r="R25" s="238"/>
      <c r="S25" s="238"/>
      <c r="T25" s="238"/>
      <c r="U25" s="238"/>
      <c r="V25" s="238"/>
      <c r="W25" s="238"/>
      <c r="Y25" s="247"/>
      <c r="Z25" s="246"/>
      <c r="AA25" s="243"/>
      <c r="AB25" s="243"/>
      <c r="AC25" s="243"/>
      <c r="AD25" s="243"/>
      <c r="AF25" s="243"/>
      <c r="AG25" s="243"/>
    </row>
    <row r="26" spans="1:33" ht="16" customHeight="1" x14ac:dyDescent="0.15">
      <c r="I26" s="238"/>
      <c r="J26" s="238"/>
      <c r="K26" s="238"/>
      <c r="L26" s="238"/>
      <c r="M26" s="238"/>
      <c r="N26" s="238"/>
      <c r="O26" s="238"/>
      <c r="P26" s="238"/>
      <c r="Q26" s="238"/>
      <c r="R26" s="238"/>
      <c r="S26" s="238"/>
      <c r="T26" s="238"/>
      <c r="U26" s="238"/>
      <c r="V26" s="238"/>
      <c r="W26" s="238"/>
      <c r="Y26" s="247"/>
      <c r="Z26" s="246"/>
      <c r="AA26" s="243"/>
      <c r="AB26" s="243"/>
      <c r="AC26" s="243"/>
      <c r="AD26" s="243"/>
      <c r="AF26" s="243"/>
      <c r="AG26" s="243"/>
    </row>
    <row r="27" spans="1:33" ht="16" customHeight="1" x14ac:dyDescent="0.15">
      <c r="Y27" s="247"/>
      <c r="Z27" s="248"/>
    </row>
    <row r="28" spans="1:33" ht="16" customHeight="1" x14ac:dyDescent="0.15">
      <c r="Y28" s="247"/>
      <c r="Z28" s="248"/>
    </row>
    <row r="29" spans="1:33" ht="16" customHeight="1" x14ac:dyDescent="0.15">
      <c r="I29" s="238"/>
      <c r="Y29" s="247"/>
      <c r="Z29" s="248"/>
    </row>
    <row r="30" spans="1:33" ht="16" customHeight="1" x14ac:dyDescent="0.15">
      <c r="B30" s="240"/>
      <c r="C30" s="241"/>
      <c r="D30" s="241"/>
      <c r="F30" s="240"/>
      <c r="G30" s="240"/>
      <c r="H30" s="241"/>
      <c r="I30" s="238"/>
      <c r="J30" s="238"/>
      <c r="K30" s="238"/>
      <c r="L30" s="238"/>
      <c r="M30" s="238"/>
      <c r="N30" s="238"/>
      <c r="O30" s="238"/>
      <c r="P30" s="238"/>
      <c r="Q30" s="238"/>
      <c r="R30" s="238"/>
      <c r="S30" s="238"/>
      <c r="T30" s="238"/>
      <c r="U30" s="238"/>
      <c r="V30" s="238"/>
      <c r="W30" s="238"/>
      <c r="X30" s="238"/>
      <c r="Y30" s="245"/>
      <c r="Z30" s="246"/>
      <c r="AA30" s="243"/>
      <c r="AB30" s="243"/>
      <c r="AC30" s="243"/>
      <c r="AD30" s="243"/>
      <c r="AF30" s="243"/>
      <c r="AG30" s="243"/>
    </row>
  </sheetData>
  <phoneticPr fontId="23" type="noConversion"/>
  <printOptions horizontalCentered="1"/>
  <pageMargins left="0.4" right="0.4" top="1" bottom="1" header="0.5" footer="0.5"/>
  <pageSetup paperSize="9" scale="72"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Cash Book 2020-21</vt:lpstr>
      <vt:lpstr>VAT</vt:lpstr>
      <vt:lpstr>Assets</vt:lpstr>
      <vt:lpstr>Bank Reconciliation</vt:lpstr>
      <vt:lpstr>Variances</vt:lpstr>
      <vt:lpstr>Variances explained</vt:lpstr>
      <vt:lpstr>Open Meeting Summary</vt:lpstr>
      <vt:lpstr>Precept</vt:lpstr>
      <vt:lpstr>Year-on-year</vt:lpstr>
      <vt:lpstr>Grants</vt:lpstr>
      <vt:lpstr>Assets!Print_Area</vt:lpstr>
      <vt:lpstr>'Bank Reconciliation'!Print_Area</vt:lpstr>
      <vt:lpstr>'Cash Book 2020-21'!Print_Area</vt:lpstr>
      <vt:lpstr>Grants!Print_Area</vt:lpstr>
      <vt:lpstr>'Open Meeting Summary'!Print_Area</vt:lpstr>
      <vt:lpstr>Precept!Print_Area</vt:lpstr>
      <vt:lpstr>Variances!Print_Area</vt:lpstr>
      <vt:lpstr>'Variances explained'!Print_Area</vt:lpstr>
      <vt:lpstr>VAT!Print_Area</vt:lpstr>
      <vt:lpstr>'Cash Book 2020-21'!Print_Titles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Heron</dc:creator>
  <cp:lastModifiedBy>Bobbie Coe</cp:lastModifiedBy>
  <cp:lastPrinted>2021-05-27T12:22:14Z</cp:lastPrinted>
  <dcterms:created xsi:type="dcterms:W3CDTF">1999-04-14T10:11:19Z</dcterms:created>
  <dcterms:modified xsi:type="dcterms:W3CDTF">2022-05-30T16:21:43Z</dcterms:modified>
</cp:coreProperties>
</file>